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theeducationpeople.sharepoint.com/sites/tep/SFS/Statutory/Closedown/Master Closedown Forms/"/>
    </mc:Choice>
  </mc:AlternateContent>
  <xr:revisionPtr revIDLastSave="179" documentId="8_{F1D50E4F-B22B-4299-BB86-42AAF5DB198F}" xr6:coauthVersionLast="47" xr6:coauthVersionMax="47" xr10:uidLastSave="{379AC8E7-C29C-478A-83E8-2BC0E4BDEAEF}"/>
  <workbookProtection workbookAlgorithmName="SHA-512" workbookHashValue="JauQjFNEeuF0Xf0exKdziB3krkcpQXkEbVEVZj98r++/qdXMN/L6IqAWUwgZZpR5+k1bz7VbnXdobPpcgkfxxg==" workbookSaltValue="KgpMbrzNaew1SeTdWm3L1Q==" workbookSpinCount="100000" lockStructure="1"/>
  <bookViews>
    <workbookView xWindow="-108" yWindow="-108" windowWidth="23256" windowHeight="12576" firstSheet="1" activeTab="2" xr2:uid="{00000000-000D-0000-FFFF-FFFF00000000}"/>
  </bookViews>
  <sheets>
    <sheet name="Guidance" sheetId="3" r:id="rId1"/>
    <sheet name="BCM Criteria" sheetId="4" r:id="rId2"/>
    <sheet name="Form" sheetId="1" r:id="rId3"/>
    <sheet name="Lookup" sheetId="2" state="hidden" r:id="rId4"/>
  </sheets>
  <definedNames>
    <definedName name="_xlnm._FilterDatabase" localSheetId="3" hidden="1">Lookup!$A$2:$N$297</definedName>
    <definedName name="ECC">#REF!</definedName>
    <definedName name="_xlnm.Print_Area" localSheetId="2">Form!$A$1:$E$54</definedName>
    <definedName name="reorgs">#REF!</definedName>
    <definedName name="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 l="1"/>
  <c r="M3" i="1" l="1"/>
  <c r="O3" i="1"/>
  <c r="N3" i="1"/>
  <c r="N1" i="1"/>
  <c r="O1" i="1"/>
  <c r="O2" i="1"/>
  <c r="E6" i="1"/>
  <c r="P1" i="1" l="1"/>
  <c r="N2" i="1"/>
  <c r="Q1" i="1" s="1"/>
  <c r="A13" i="1"/>
  <c r="E24" i="1" l="1"/>
  <c r="E28" i="1" s="1"/>
  <c r="E20" i="1"/>
  <c r="F51" i="1"/>
  <c r="F45" i="1"/>
  <c r="F39" i="1"/>
  <c r="F33" i="1"/>
  <c r="E4" i="2" l="1"/>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3" i="2"/>
  <c r="F19" i="1" l="1"/>
  <c r="F18" i="1"/>
  <c r="F17" i="1"/>
  <c r="F16" i="1"/>
  <c r="L297" i="2"/>
  <c r="C297" i="2" s="1"/>
  <c r="F5" i="1" l="1"/>
  <c r="M297" i="2"/>
  <c r="O297" i="2" s="1"/>
  <c r="P297" i="2" s="1"/>
  <c r="H28" i="1"/>
  <c r="Q297" i="2" l="1"/>
  <c r="M291" i="2"/>
  <c r="O291" i="2" s="1"/>
  <c r="B2" i="1"/>
  <c r="M295" i="2"/>
  <c r="O295" i="2" s="1"/>
  <c r="P295" i="2" s="1"/>
  <c r="M279" i="2"/>
  <c r="O279" i="2" s="1"/>
  <c r="P279" i="2" s="1"/>
  <c r="M272" i="2"/>
  <c r="O272" i="2" s="1"/>
  <c r="P272" i="2" s="1"/>
  <c r="Q272" i="2" s="1"/>
  <c r="M267" i="2"/>
  <c r="O267" i="2" s="1"/>
  <c r="M260" i="2"/>
  <c r="O260" i="2" s="1"/>
  <c r="P260" i="2" s="1"/>
  <c r="Q260" i="2" s="1"/>
  <c r="M254" i="2"/>
  <c r="O254" i="2" s="1"/>
  <c r="P254" i="2" s="1"/>
  <c r="Q254" i="2" s="1"/>
  <c r="M249" i="2"/>
  <c r="O249" i="2" s="1"/>
  <c r="M243" i="2"/>
  <c r="O243" i="2" s="1"/>
  <c r="P243" i="2" s="1"/>
  <c r="Q243" i="2" s="1"/>
  <c r="M237" i="2"/>
  <c r="O237" i="2" s="1"/>
  <c r="P237" i="2" s="1"/>
  <c r="Q237" i="2" s="1"/>
  <c r="M224" i="2"/>
  <c r="O224" i="2" s="1"/>
  <c r="P224" i="2" s="1"/>
  <c r="Q224" i="2" s="1"/>
  <c r="M216" i="2"/>
  <c r="O216" i="2" s="1"/>
  <c r="M201" i="2"/>
  <c r="O201" i="2" s="1"/>
  <c r="M193" i="2"/>
  <c r="O193" i="2" s="1"/>
  <c r="M185" i="2"/>
  <c r="O185" i="2" s="1"/>
  <c r="M180" i="2"/>
  <c r="O180" i="2" s="1"/>
  <c r="P180" i="2" s="1"/>
  <c r="M172" i="2"/>
  <c r="O172" i="2" s="1"/>
  <c r="P172" i="2" s="1"/>
  <c r="M165" i="2"/>
  <c r="O165" i="2" s="1"/>
  <c r="P165" i="2" s="1"/>
  <c r="Q165" i="2" s="1"/>
  <c r="M157" i="2"/>
  <c r="O157" i="2" s="1"/>
  <c r="P157" i="2" s="1"/>
  <c r="M150" i="2"/>
  <c r="O150" i="2" s="1"/>
  <c r="P150" i="2" s="1"/>
  <c r="M142" i="2"/>
  <c r="O142" i="2" s="1"/>
  <c r="M135" i="2"/>
  <c r="O135" i="2" s="1"/>
  <c r="P135" i="2" s="1"/>
  <c r="M128" i="2"/>
  <c r="O128" i="2" s="1"/>
  <c r="P128" i="2" s="1"/>
  <c r="M122" i="2"/>
  <c r="O122" i="2" s="1"/>
  <c r="P122" i="2" s="1"/>
  <c r="M113" i="2"/>
  <c r="O113" i="2" s="1"/>
  <c r="P113" i="2" s="1"/>
  <c r="M107" i="2"/>
  <c r="O107" i="2" s="1"/>
  <c r="P107" i="2" s="1"/>
  <c r="Q107" i="2" s="1"/>
  <c r="M101" i="2"/>
  <c r="O101" i="2" s="1"/>
  <c r="M93" i="2"/>
  <c r="O93" i="2" s="1"/>
  <c r="P93" i="2" s="1"/>
  <c r="M85" i="2"/>
  <c r="O85" i="2" s="1"/>
  <c r="P85" i="2" s="1"/>
  <c r="M78" i="2"/>
  <c r="O78" i="2" s="1"/>
  <c r="P78" i="2" s="1"/>
  <c r="M64" i="2"/>
  <c r="O64" i="2" s="1"/>
  <c r="P64" i="2" s="1"/>
  <c r="M51" i="2"/>
  <c r="O51" i="2" s="1"/>
  <c r="M44" i="2"/>
  <c r="O44" i="2" s="1"/>
  <c r="P44" i="2" s="1"/>
  <c r="Q44" i="2" s="1"/>
  <c r="M37" i="2"/>
  <c r="O37" i="2" s="1"/>
  <c r="M29" i="2"/>
  <c r="O29" i="2" s="1"/>
  <c r="P29" i="2" s="1"/>
  <c r="Q29" i="2" s="1"/>
  <c r="M18" i="2"/>
  <c r="O18" i="2" s="1"/>
  <c r="M7" i="2"/>
  <c r="O7" i="2" s="1"/>
  <c r="P7" i="2" s="1"/>
  <c r="F2" i="1"/>
  <c r="F1" i="1"/>
  <c r="H1" i="1"/>
  <c r="F28" i="1" s="1"/>
  <c r="M3" i="2"/>
  <c r="O3" i="2" s="1"/>
  <c r="P3" i="2" s="1"/>
  <c r="M9" i="2"/>
  <c r="O9" i="2" s="1"/>
  <c r="P9" i="2" s="1"/>
  <c r="M14" i="2"/>
  <c r="O14" i="2" s="1"/>
  <c r="P14" i="2" s="1"/>
  <c r="M25" i="2"/>
  <c r="O25" i="2" s="1"/>
  <c r="M41" i="2"/>
  <c r="O41" i="2" s="1"/>
  <c r="M54" i="2"/>
  <c r="O54" i="2" s="1"/>
  <c r="M68" i="2"/>
  <c r="O68" i="2" s="1"/>
  <c r="P68" i="2" s="1"/>
  <c r="M81" i="2"/>
  <c r="O81" i="2" s="1"/>
  <c r="P81" i="2" s="1"/>
  <c r="M97" i="2"/>
  <c r="O97" i="2" s="1"/>
  <c r="M111" i="2"/>
  <c r="O111" i="2" s="1"/>
  <c r="M132" i="2"/>
  <c r="O132" i="2" s="1"/>
  <c r="P132" i="2" s="1"/>
  <c r="M146" i="2"/>
  <c r="O146" i="2" s="1"/>
  <c r="M161" i="2"/>
  <c r="O161" i="2" s="1"/>
  <c r="P161" i="2" s="1"/>
  <c r="M176" i="2"/>
  <c r="O176" i="2" s="1"/>
  <c r="M189" i="2"/>
  <c r="O189" i="2" s="1"/>
  <c r="P189" i="2" s="1"/>
  <c r="Q189" i="2" s="1"/>
  <c r="M205" i="2"/>
  <c r="O205" i="2" s="1"/>
  <c r="P205" i="2" s="1"/>
  <c r="Q205" i="2" s="1"/>
  <c r="M220" i="2"/>
  <c r="O220" i="2" s="1"/>
  <c r="P220" i="2" s="1"/>
  <c r="M233" i="2"/>
  <c r="O233" i="2" s="1"/>
  <c r="P233" i="2" s="1"/>
  <c r="Q233" i="2" s="1"/>
  <c r="M245" i="2"/>
  <c r="O245" i="2" s="1"/>
  <c r="M257" i="2"/>
  <c r="O257" i="2" s="1"/>
  <c r="P257" i="2" s="1"/>
  <c r="M269" i="2"/>
  <c r="O269" i="2" s="1"/>
  <c r="M283" i="2"/>
  <c r="O283" i="2" s="1"/>
  <c r="M287" i="2"/>
  <c r="O287" i="2" s="1"/>
  <c r="M5" i="2"/>
  <c r="O5" i="2" s="1"/>
  <c r="M11" i="2"/>
  <c r="O11" i="2" s="1"/>
  <c r="M20" i="2"/>
  <c r="O20" i="2" s="1"/>
  <c r="P20" i="2" s="1"/>
  <c r="Q20" i="2" s="1"/>
  <c r="M33" i="2"/>
  <c r="O33" i="2" s="1"/>
  <c r="M61" i="2"/>
  <c r="O61" i="2" s="1"/>
  <c r="P61" i="2" s="1"/>
  <c r="Q61" i="2" s="1"/>
  <c r="M74" i="2"/>
  <c r="O74" i="2" s="1"/>
  <c r="M89" i="2"/>
  <c r="O89" i="2" s="1"/>
  <c r="P89" i="2" s="1"/>
  <c r="Q89" i="2" s="1"/>
  <c r="M104" i="2"/>
  <c r="O104" i="2" s="1"/>
  <c r="M115" i="2"/>
  <c r="O115" i="2" s="1"/>
  <c r="M125" i="2"/>
  <c r="O125" i="2" s="1"/>
  <c r="P125" i="2" s="1"/>
  <c r="Q125" i="2" s="1"/>
  <c r="M138" i="2"/>
  <c r="O138" i="2" s="1"/>
  <c r="M154" i="2"/>
  <c r="O154" i="2" s="1"/>
  <c r="M168" i="2"/>
  <c r="O168" i="2" s="1"/>
  <c r="P168" i="2" s="1"/>
  <c r="M183" i="2"/>
  <c r="O183" i="2" s="1"/>
  <c r="P183" i="2" s="1"/>
  <c r="Q183" i="2" s="1"/>
  <c r="M197" i="2"/>
  <c r="O197" i="2" s="1"/>
  <c r="P197" i="2" s="1"/>
  <c r="Q197" i="2" s="1"/>
  <c r="M212" i="2"/>
  <c r="O212" i="2" s="1"/>
  <c r="P212" i="2" s="1"/>
  <c r="M241" i="2"/>
  <c r="O241" i="2" s="1"/>
  <c r="P241" i="2" s="1"/>
  <c r="M264" i="2"/>
  <c r="O264" i="2" s="1"/>
  <c r="P264" i="2" s="1"/>
  <c r="M296" i="2"/>
  <c r="O296" i="2" s="1"/>
  <c r="P296" i="2" s="1"/>
  <c r="M292" i="2"/>
  <c r="O292" i="2" s="1"/>
  <c r="P292" i="2" s="1"/>
  <c r="Q292" i="2" s="1"/>
  <c r="M288" i="2"/>
  <c r="O288" i="2" s="1"/>
  <c r="P288" i="2" s="1"/>
  <c r="Q288" i="2" s="1"/>
  <c r="M284" i="2"/>
  <c r="O284" i="2" s="1"/>
  <c r="P284" i="2" s="1"/>
  <c r="Q284" i="2" s="1"/>
  <c r="M280" i="2"/>
  <c r="O280" i="2" s="1"/>
  <c r="M276" i="2"/>
  <c r="O276" i="2" s="1"/>
  <c r="P276" i="2" s="1"/>
  <c r="M273" i="2"/>
  <c r="O273" i="2" s="1"/>
  <c r="P273" i="2" s="1"/>
  <c r="M270" i="2"/>
  <c r="O270" i="2" s="1"/>
  <c r="M265" i="2"/>
  <c r="O265" i="2" s="1"/>
  <c r="P265" i="2" s="1"/>
  <c r="Q265" i="2" s="1"/>
  <c r="M261" i="2"/>
  <c r="O261" i="2" s="1"/>
  <c r="P261" i="2" s="1"/>
  <c r="M258" i="2"/>
  <c r="O258" i="2" s="1"/>
  <c r="P258" i="2" s="1"/>
  <c r="Q258" i="2" s="1"/>
  <c r="M255" i="2"/>
  <c r="O255" i="2" s="1"/>
  <c r="M251" i="2"/>
  <c r="O251" i="2" s="1"/>
  <c r="P251" i="2" s="1"/>
  <c r="Q251" i="2" s="1"/>
  <c r="M246" i="2"/>
  <c r="O246" i="2" s="1"/>
  <c r="P246" i="2" s="1"/>
  <c r="M244" i="2"/>
  <c r="O244" i="2" s="1"/>
  <c r="P244" i="2" s="1"/>
  <c r="M242" i="2"/>
  <c r="O242" i="2" s="1"/>
  <c r="M238" i="2"/>
  <c r="O238" i="2" s="1"/>
  <c r="P238" i="2" s="1"/>
  <c r="Q238" i="2" s="1"/>
  <c r="M234" i="2"/>
  <c r="O234" i="2" s="1"/>
  <c r="M230" i="2"/>
  <c r="O230" i="2" s="1"/>
  <c r="P230" i="2" s="1"/>
  <c r="M227" i="2"/>
  <c r="O227" i="2" s="1"/>
  <c r="M225" i="2"/>
  <c r="O225" i="2" s="1"/>
  <c r="P225" i="2" s="1"/>
  <c r="M221" i="2"/>
  <c r="O221" i="2" s="1"/>
  <c r="M217" i="2"/>
  <c r="O217" i="2" s="1"/>
  <c r="P217" i="2" s="1"/>
  <c r="M213" i="2"/>
  <c r="O213" i="2" s="1"/>
  <c r="M209" i="2"/>
  <c r="O209" i="2" s="1"/>
  <c r="P209" i="2" s="1"/>
  <c r="M206" i="2"/>
  <c r="O206" i="2" s="1"/>
  <c r="P206" i="2" s="1"/>
  <c r="M202" i="2"/>
  <c r="O202" i="2" s="1"/>
  <c r="P202" i="2" s="1"/>
  <c r="M198" i="2"/>
  <c r="O198" i="2" s="1"/>
  <c r="M194" i="2"/>
  <c r="O194" i="2" s="1"/>
  <c r="P194" i="2" s="1"/>
  <c r="M190" i="2"/>
  <c r="O190" i="2" s="1"/>
  <c r="M186" i="2"/>
  <c r="O186" i="2" s="1"/>
  <c r="P186" i="2" s="1"/>
  <c r="M184" i="2"/>
  <c r="O184" i="2" s="1"/>
  <c r="M177" i="2"/>
  <c r="O177" i="2" s="1"/>
  <c r="P177" i="2" s="1"/>
  <c r="Q177" i="2" s="1"/>
  <c r="M173" i="2"/>
  <c r="O173" i="2" s="1"/>
  <c r="P173" i="2" s="1"/>
  <c r="M169" i="2"/>
  <c r="O169" i="2" s="1"/>
  <c r="P169" i="2" s="1"/>
  <c r="Q169" i="2" s="1"/>
  <c r="M166" i="2"/>
  <c r="O166" i="2" s="1"/>
  <c r="M162" i="2"/>
  <c r="O162" i="2" s="1"/>
  <c r="P162" i="2" s="1"/>
  <c r="Q162" i="2" s="1"/>
  <c r="M158" i="2"/>
  <c r="O158" i="2" s="1"/>
  <c r="M155" i="2"/>
  <c r="O155" i="2" s="1"/>
  <c r="M151" i="2"/>
  <c r="O151" i="2" s="1"/>
  <c r="P151" i="2" s="1"/>
  <c r="M147" i="2"/>
  <c r="O147" i="2" s="1"/>
  <c r="P147" i="2" s="1"/>
  <c r="M143" i="2"/>
  <c r="O143" i="2" s="1"/>
  <c r="P143" i="2" s="1"/>
  <c r="M139" i="2"/>
  <c r="O139" i="2" s="1"/>
  <c r="M129" i="2"/>
  <c r="O129" i="2" s="1"/>
  <c r="P129" i="2" s="1"/>
  <c r="M123" i="2"/>
  <c r="O123" i="2" s="1"/>
  <c r="M120" i="2"/>
  <c r="O120" i="2" s="1"/>
  <c r="M116" i="2"/>
  <c r="O116" i="2" s="1"/>
  <c r="P116" i="2" s="1"/>
  <c r="M108" i="2"/>
  <c r="O108" i="2" s="1"/>
  <c r="P108" i="2" s="1"/>
  <c r="M105" i="2"/>
  <c r="O105" i="2" s="1"/>
  <c r="M98" i="2"/>
  <c r="O98" i="2" s="1"/>
  <c r="M94" i="2"/>
  <c r="O94" i="2" s="1"/>
  <c r="P94" i="2" s="1"/>
  <c r="M90" i="2"/>
  <c r="O90" i="2" s="1"/>
  <c r="M86" i="2"/>
  <c r="O86" i="2" s="1"/>
  <c r="P86" i="2" s="1"/>
  <c r="M82" i="2"/>
  <c r="O82" i="2" s="1"/>
  <c r="P82" i="2" s="1"/>
  <c r="M75" i="2"/>
  <c r="O75" i="2" s="1"/>
  <c r="P75" i="2" s="1"/>
  <c r="Q75" i="2" s="1"/>
  <c r="M71" i="2"/>
  <c r="O71" i="2" s="1"/>
  <c r="M69" i="2"/>
  <c r="O69" i="2" s="1"/>
  <c r="M65" i="2"/>
  <c r="O65" i="2" s="1"/>
  <c r="M62" i="2"/>
  <c r="O62" i="2" s="1"/>
  <c r="P62" i="2" s="1"/>
  <c r="M58" i="2"/>
  <c r="O58" i="2" s="1"/>
  <c r="P58" i="2" s="1"/>
  <c r="M55" i="2"/>
  <c r="O55" i="2" s="1"/>
  <c r="P55" i="2" s="1"/>
  <c r="Q55" i="2" s="1"/>
  <c r="M52" i="2"/>
  <c r="O52" i="2" s="1"/>
  <c r="M48" i="2"/>
  <c r="O48" i="2" s="1"/>
  <c r="P48" i="2" s="1"/>
  <c r="Q48" i="2" s="1"/>
  <c r="M45" i="2"/>
  <c r="O45" i="2" s="1"/>
  <c r="P45" i="2" s="1"/>
  <c r="M42" i="2"/>
  <c r="O42" i="2" s="1"/>
  <c r="M38" i="2"/>
  <c r="O38" i="2" s="1"/>
  <c r="P38" i="2" s="1"/>
  <c r="M34" i="2"/>
  <c r="O34" i="2" s="1"/>
  <c r="P34" i="2" s="1"/>
  <c r="M30" i="2"/>
  <c r="O30" i="2" s="1"/>
  <c r="P30" i="2" s="1"/>
  <c r="Q30" i="2" s="1"/>
  <c r="M26" i="2"/>
  <c r="O26" i="2" s="1"/>
  <c r="M21" i="2"/>
  <c r="O21" i="2" s="1"/>
  <c r="P21" i="2" s="1"/>
  <c r="M15" i="2"/>
  <c r="O15" i="2" s="1"/>
  <c r="P15" i="2" s="1"/>
  <c r="Q15" i="2" s="1"/>
  <c r="M294" i="2"/>
  <c r="O294" i="2" s="1"/>
  <c r="P294" i="2" s="1"/>
  <c r="Q294" i="2" s="1"/>
  <c r="M290" i="2"/>
  <c r="O290" i="2" s="1"/>
  <c r="M286" i="2"/>
  <c r="O286" i="2" s="1"/>
  <c r="P286" i="2" s="1"/>
  <c r="M282" i="2"/>
  <c r="O282" i="2" s="1"/>
  <c r="M278" i="2"/>
  <c r="O278" i="2" s="1"/>
  <c r="P278" i="2" s="1"/>
  <c r="Q278" i="2" s="1"/>
  <c r="M275" i="2"/>
  <c r="O275" i="2" s="1"/>
  <c r="P275" i="2" s="1"/>
  <c r="M266" i="2"/>
  <c r="O266" i="2" s="1"/>
  <c r="P266" i="2" s="1"/>
  <c r="M263" i="2"/>
  <c r="O263" i="2" s="1"/>
  <c r="P263" i="2" s="1"/>
  <c r="M253" i="2"/>
  <c r="O253" i="2" s="1"/>
  <c r="P253" i="2" s="1"/>
  <c r="M250" i="2"/>
  <c r="O250" i="2" s="1"/>
  <c r="P250" i="2" s="1"/>
  <c r="Q250" i="2" s="1"/>
  <c r="M248" i="2"/>
  <c r="O248" i="2" s="1"/>
  <c r="P248" i="2" s="1"/>
  <c r="Q248" i="2" s="1"/>
  <c r="M240" i="2"/>
  <c r="O240" i="2" s="1"/>
  <c r="P240" i="2" s="1"/>
  <c r="Q240" i="2" s="1"/>
  <c r="M236" i="2"/>
  <c r="O236" i="2" s="1"/>
  <c r="M232" i="2"/>
  <c r="O232" i="2" s="1"/>
  <c r="P232" i="2" s="1"/>
  <c r="M229" i="2"/>
  <c r="O229" i="2" s="1"/>
  <c r="P229" i="2" s="1"/>
  <c r="M226" i="2"/>
  <c r="O226" i="2" s="1"/>
  <c r="P226" i="2" s="1"/>
  <c r="M223" i="2"/>
  <c r="O223" i="2" s="1"/>
  <c r="M219" i="2"/>
  <c r="O219" i="2" s="1"/>
  <c r="P219" i="2" s="1"/>
  <c r="Q219" i="2" s="1"/>
  <c r="M215" i="2"/>
  <c r="O215" i="2" s="1"/>
  <c r="M211" i="2"/>
  <c r="O211" i="2" s="1"/>
  <c r="P211" i="2" s="1"/>
  <c r="Q211" i="2" s="1"/>
  <c r="M208" i="2"/>
  <c r="O208" i="2" s="1"/>
  <c r="P208" i="2" s="1"/>
  <c r="M204" i="2"/>
  <c r="O204" i="2" s="1"/>
  <c r="P204" i="2" s="1"/>
  <c r="Q204" i="2" s="1"/>
  <c r="M200" i="2"/>
  <c r="O200" i="2" s="1"/>
  <c r="M196" i="2"/>
  <c r="O196" i="2" s="1"/>
  <c r="P196" i="2" s="1"/>
  <c r="Q196" i="2" s="1"/>
  <c r="M192" i="2"/>
  <c r="O192" i="2" s="1"/>
  <c r="P192" i="2" s="1"/>
  <c r="Q192" i="2" s="1"/>
  <c r="M188" i="2"/>
  <c r="O188" i="2" s="1"/>
  <c r="M182" i="2"/>
  <c r="O182" i="2" s="1"/>
  <c r="M179" i="2"/>
  <c r="O179" i="2" s="1"/>
  <c r="P179" i="2" s="1"/>
  <c r="M175" i="2"/>
  <c r="O175" i="2" s="1"/>
  <c r="P175" i="2" s="1"/>
  <c r="Q175" i="2" s="1"/>
  <c r="M171" i="2"/>
  <c r="O171" i="2" s="1"/>
  <c r="M167" i="2"/>
  <c r="O167" i="2" s="1"/>
  <c r="P167" i="2" s="1"/>
  <c r="M164" i="2"/>
  <c r="O164" i="2" s="1"/>
  <c r="P164" i="2" s="1"/>
  <c r="M160" i="2"/>
  <c r="O160" i="2" s="1"/>
  <c r="P160" i="2" s="1"/>
  <c r="M153" i="2"/>
  <c r="O153" i="2" s="1"/>
  <c r="M149" i="2"/>
  <c r="O149" i="2" s="1"/>
  <c r="P149" i="2" s="1"/>
  <c r="Q149" i="2" s="1"/>
  <c r="M145" i="2"/>
  <c r="O145" i="2" s="1"/>
  <c r="P145" i="2" s="1"/>
  <c r="Q145" i="2" s="1"/>
  <c r="M141" i="2"/>
  <c r="O141" i="2" s="1"/>
  <c r="P141" i="2" s="1"/>
  <c r="Q141" i="2" s="1"/>
  <c r="M137" i="2"/>
  <c r="O137" i="2" s="1"/>
  <c r="M134" i="2"/>
  <c r="O134" i="2" s="1"/>
  <c r="P134" i="2" s="1"/>
  <c r="Q134" i="2" s="1"/>
  <c r="M131" i="2"/>
  <c r="O131" i="2" s="1"/>
  <c r="P131" i="2" s="1"/>
  <c r="Q131" i="2" s="1"/>
  <c r="M127" i="2"/>
  <c r="O127" i="2" s="1"/>
  <c r="P127" i="2" s="1"/>
  <c r="Q127" i="2" s="1"/>
  <c r="M124" i="2"/>
  <c r="O124" i="2" s="1"/>
  <c r="M121" i="2"/>
  <c r="O121" i="2" s="1"/>
  <c r="P121" i="2" s="1"/>
  <c r="M118" i="2"/>
  <c r="O118" i="2" s="1"/>
  <c r="P118" i="2" s="1"/>
  <c r="M110" i="2"/>
  <c r="O110" i="2" s="1"/>
  <c r="P110" i="2" s="1"/>
  <c r="Q110" i="2" s="1"/>
  <c r="M103" i="2"/>
  <c r="O103" i="2" s="1"/>
  <c r="M100" i="2"/>
  <c r="O100" i="2" s="1"/>
  <c r="P100" i="2" s="1"/>
  <c r="Q100" i="2" s="1"/>
  <c r="M96" i="2"/>
  <c r="O96" i="2" s="1"/>
  <c r="P96" i="2" s="1"/>
  <c r="M92" i="2"/>
  <c r="O92" i="2" s="1"/>
  <c r="P92" i="2" s="1"/>
  <c r="M88" i="2"/>
  <c r="O88" i="2" s="1"/>
  <c r="M84" i="2"/>
  <c r="O84" i="2" s="1"/>
  <c r="M80" i="2"/>
  <c r="O80" i="2" s="1"/>
  <c r="P80" i="2" s="1"/>
  <c r="Q80" i="2" s="1"/>
  <c r="M77" i="2"/>
  <c r="O77" i="2" s="1"/>
  <c r="M73" i="2"/>
  <c r="O73" i="2" s="1"/>
  <c r="P73" i="2" s="1"/>
  <c r="M70" i="2"/>
  <c r="O70" i="2" s="1"/>
  <c r="M67" i="2"/>
  <c r="O67" i="2" s="1"/>
  <c r="P67" i="2" s="1"/>
  <c r="Q67" i="2" s="1"/>
  <c r="M63" i="2"/>
  <c r="O63" i="2" s="1"/>
  <c r="M60" i="2"/>
  <c r="O60" i="2" s="1"/>
  <c r="M57" i="2"/>
  <c r="O57" i="2" s="1"/>
  <c r="M50" i="2"/>
  <c r="O50" i="2" s="1"/>
  <c r="M47" i="2"/>
  <c r="O47" i="2" s="1"/>
  <c r="P47" i="2" s="1"/>
  <c r="M43" i="2"/>
  <c r="M40" i="2"/>
  <c r="O40" i="2" s="1"/>
  <c r="P40" i="2" s="1"/>
  <c r="M36" i="2"/>
  <c r="O36" i="2" s="1"/>
  <c r="M32" i="2"/>
  <c r="O32" i="2" s="1"/>
  <c r="P32" i="2" s="1"/>
  <c r="Q32" i="2" s="1"/>
  <c r="M28" i="2"/>
  <c r="O28" i="2" s="1"/>
  <c r="P28" i="2" s="1"/>
  <c r="M24" i="2"/>
  <c r="O24" i="2" s="1"/>
  <c r="M17" i="2"/>
  <c r="O17" i="2" s="1"/>
  <c r="M13" i="2"/>
  <c r="O13" i="2" s="1"/>
  <c r="P13" i="2" s="1"/>
  <c r="M293" i="2"/>
  <c r="O293" i="2" s="1"/>
  <c r="P293" i="2" s="1"/>
  <c r="M285" i="2"/>
  <c r="O285" i="2" s="1"/>
  <c r="P285" i="2" s="1"/>
  <c r="M277" i="2"/>
  <c r="O277" i="2" s="1"/>
  <c r="M271" i="2"/>
  <c r="O271" i="2" s="1"/>
  <c r="M259" i="2"/>
  <c r="O259" i="2" s="1"/>
  <c r="P259" i="2" s="1"/>
  <c r="M252" i="2"/>
  <c r="O252" i="2" s="1"/>
  <c r="M247" i="2"/>
  <c r="O247" i="2" s="1"/>
  <c r="P247" i="2" s="1"/>
  <c r="M235" i="2"/>
  <c r="O235" i="2" s="1"/>
  <c r="M228" i="2"/>
  <c r="O228" i="2" s="1"/>
  <c r="M222" i="2"/>
  <c r="O222" i="2" s="1"/>
  <c r="M214" i="2"/>
  <c r="O214" i="2" s="1"/>
  <c r="P214" i="2" s="1"/>
  <c r="M207" i="2"/>
  <c r="O207" i="2" s="1"/>
  <c r="P207" i="2" s="1"/>
  <c r="M199" i="2"/>
  <c r="O199" i="2" s="1"/>
  <c r="P199" i="2" s="1"/>
  <c r="M191" i="2"/>
  <c r="O191" i="2" s="1"/>
  <c r="P191" i="2" s="1"/>
  <c r="M178" i="2"/>
  <c r="O178" i="2" s="1"/>
  <c r="P178" i="2" s="1"/>
  <c r="Q178" i="2" s="1"/>
  <c r="M170" i="2"/>
  <c r="O170" i="2" s="1"/>
  <c r="P170" i="2" s="1"/>
  <c r="M163" i="2"/>
  <c r="O163" i="2" s="1"/>
  <c r="P163" i="2" s="1"/>
  <c r="M156" i="2"/>
  <c r="O156" i="2" s="1"/>
  <c r="P156" i="2" s="1"/>
  <c r="M148" i="2"/>
  <c r="O148" i="2" s="1"/>
  <c r="P148" i="2" s="1"/>
  <c r="M140" i="2"/>
  <c r="O140" i="2" s="1"/>
  <c r="M133" i="2"/>
  <c r="O133" i="2" s="1"/>
  <c r="M126" i="2"/>
  <c r="O126" i="2" s="1"/>
  <c r="P126" i="2" s="1"/>
  <c r="M117" i="2"/>
  <c r="O117" i="2" s="1"/>
  <c r="P117" i="2" s="1"/>
  <c r="M112" i="2"/>
  <c r="O112" i="2" s="1"/>
  <c r="M106" i="2"/>
  <c r="O106" i="2" s="1"/>
  <c r="P106" i="2" s="1"/>
  <c r="Q106" i="2" s="1"/>
  <c r="M99" i="2"/>
  <c r="O99" i="2" s="1"/>
  <c r="M91" i="2"/>
  <c r="O91" i="2" s="1"/>
  <c r="M83" i="2"/>
  <c r="O83" i="2" s="1"/>
  <c r="M76" i="2"/>
  <c r="O76" i="2" s="1"/>
  <c r="P76" i="2" s="1"/>
  <c r="Q76" i="2" s="1"/>
  <c r="M56" i="2"/>
  <c r="O56" i="2" s="1"/>
  <c r="M49" i="2"/>
  <c r="O49" i="2" s="1"/>
  <c r="P49" i="2" s="1"/>
  <c r="Q49" i="2" s="1"/>
  <c r="M35" i="2"/>
  <c r="O35" i="2" s="1"/>
  <c r="P35" i="2" s="1"/>
  <c r="M27" i="2"/>
  <c r="O27" i="2" s="1"/>
  <c r="P27" i="2" s="1"/>
  <c r="M22" i="2"/>
  <c r="O22" i="2" s="1"/>
  <c r="P22" i="2" s="1"/>
  <c r="Q22" i="2" s="1"/>
  <c r="M16" i="2"/>
  <c r="O16" i="2" s="1"/>
  <c r="P16" i="2" s="1"/>
  <c r="Q16" i="2" s="1"/>
  <c r="M10" i="2"/>
  <c r="O10" i="2" s="1"/>
  <c r="P10" i="2" s="1"/>
  <c r="Q10" i="2" s="1"/>
  <c r="M6" i="2"/>
  <c r="O6" i="2" s="1"/>
  <c r="P6" i="2" s="1"/>
  <c r="Q6" i="2" s="1"/>
  <c r="M289" i="2"/>
  <c r="O289" i="2" s="1"/>
  <c r="P289" i="2" s="1"/>
  <c r="M281" i="2"/>
  <c r="O281" i="2" s="1"/>
  <c r="P281" i="2" s="1"/>
  <c r="M274" i="2"/>
  <c r="O274" i="2" s="1"/>
  <c r="M268" i="2"/>
  <c r="O268" i="2" s="1"/>
  <c r="P268" i="2" s="1"/>
  <c r="Q268" i="2" s="1"/>
  <c r="M262" i="2"/>
  <c r="O262" i="2" s="1"/>
  <c r="M256" i="2"/>
  <c r="O256" i="2" s="1"/>
  <c r="P256" i="2" s="1"/>
  <c r="M239" i="2"/>
  <c r="O239" i="2" s="1"/>
  <c r="M231" i="2"/>
  <c r="O231" i="2" s="1"/>
  <c r="M218" i="2"/>
  <c r="O218" i="2" s="1"/>
  <c r="P218" i="2" s="1"/>
  <c r="M210" i="2"/>
  <c r="O210" i="2" s="1"/>
  <c r="P210" i="2" s="1"/>
  <c r="M203" i="2"/>
  <c r="O203" i="2" s="1"/>
  <c r="M195" i="2"/>
  <c r="O195" i="2" s="1"/>
  <c r="M187" i="2"/>
  <c r="O187" i="2" s="1"/>
  <c r="P187" i="2" s="1"/>
  <c r="M181" i="2"/>
  <c r="O181" i="2" s="1"/>
  <c r="P181" i="2" s="1"/>
  <c r="M174" i="2"/>
  <c r="O174" i="2" s="1"/>
  <c r="M159" i="2"/>
  <c r="O159" i="2" s="1"/>
  <c r="P159" i="2" s="1"/>
  <c r="M152" i="2"/>
  <c r="O152" i="2" s="1"/>
  <c r="M144" i="2"/>
  <c r="O144" i="2" s="1"/>
  <c r="M136" i="2"/>
  <c r="O136" i="2" s="1"/>
  <c r="P136" i="2" s="1"/>
  <c r="M130" i="2"/>
  <c r="O130" i="2" s="1"/>
  <c r="M119" i="2"/>
  <c r="O119" i="2" s="1"/>
  <c r="M114" i="2"/>
  <c r="O114" i="2" s="1"/>
  <c r="P114" i="2" s="1"/>
  <c r="Q114" i="2" s="1"/>
  <c r="M109" i="2"/>
  <c r="O109" i="2" s="1"/>
  <c r="M102" i="2"/>
  <c r="O102" i="2" s="1"/>
  <c r="P102" i="2" s="1"/>
  <c r="M95" i="2"/>
  <c r="O95" i="2" s="1"/>
  <c r="P95" i="2" s="1"/>
  <c r="M87" i="2"/>
  <c r="O87" i="2" s="1"/>
  <c r="P87" i="2" s="1"/>
  <c r="Q87" i="2" s="1"/>
  <c r="M79" i="2"/>
  <c r="O79" i="2" s="1"/>
  <c r="M72" i="2"/>
  <c r="O72" i="2" s="1"/>
  <c r="M66" i="2"/>
  <c r="O66" i="2" s="1"/>
  <c r="M59" i="2"/>
  <c r="O59" i="2" s="1"/>
  <c r="P59" i="2" s="1"/>
  <c r="Q59" i="2" s="1"/>
  <c r="M53" i="2"/>
  <c r="O53" i="2" s="1"/>
  <c r="M46" i="2"/>
  <c r="O46" i="2" s="1"/>
  <c r="P46" i="2" s="1"/>
  <c r="M39" i="2"/>
  <c r="O39" i="2" s="1"/>
  <c r="P39" i="2" s="1"/>
  <c r="M31" i="2"/>
  <c r="O31" i="2" s="1"/>
  <c r="M23" i="2"/>
  <c r="O23" i="2" s="1"/>
  <c r="P23" i="2" s="1"/>
  <c r="M19" i="2"/>
  <c r="O19" i="2" s="1"/>
  <c r="M12" i="2"/>
  <c r="O12" i="2" s="1"/>
  <c r="P12" i="2" s="1"/>
  <c r="Q12" i="2" s="1"/>
  <c r="M8" i="2"/>
  <c r="O8" i="2" s="1"/>
  <c r="M4" i="2"/>
  <c r="O4" i="2" s="1"/>
  <c r="P4" i="2" s="1"/>
  <c r="Q4" i="2" s="1"/>
  <c r="O43" i="2" l="1"/>
  <c r="P43" i="2" s="1"/>
  <c r="Q43" i="2" s="1"/>
  <c r="E7" i="1"/>
  <c r="Q161" i="2"/>
  <c r="Q135" i="2"/>
  <c r="Q150" i="2"/>
  <c r="Q34" i="2"/>
  <c r="Q226" i="2"/>
  <c r="Q116" i="2"/>
  <c r="Q276" i="2"/>
  <c r="Q232" i="2"/>
  <c r="Q180" i="2"/>
  <c r="Q206" i="2"/>
  <c r="Q246" i="2"/>
  <c r="Q64" i="2"/>
  <c r="Q81" i="2"/>
  <c r="Q58" i="2"/>
  <c r="Q157" i="2"/>
  <c r="Q68" i="2"/>
  <c r="Q27" i="2"/>
  <c r="Q172" i="2"/>
  <c r="Q194" i="2"/>
  <c r="Q21" i="2"/>
  <c r="Q263" i="2"/>
  <c r="Q208" i="2"/>
  <c r="Q164" i="2"/>
  <c r="Q225" i="2"/>
  <c r="P227" i="2"/>
  <c r="Q227" i="2" s="1"/>
  <c r="P11" i="2"/>
  <c r="Q11" i="2" s="1"/>
  <c r="Q46" i="2"/>
  <c r="Q126" i="2"/>
  <c r="Q207" i="2"/>
  <c r="Q285" i="2"/>
  <c r="P56" i="2"/>
  <c r="Q56" i="2" s="1"/>
  <c r="P223" i="2"/>
  <c r="Q223" i="2" s="1"/>
  <c r="P37" i="2"/>
  <c r="Q37" i="2" s="1"/>
  <c r="P26" i="2"/>
  <c r="Q26" i="2" s="1"/>
  <c r="P36" i="2"/>
  <c r="Q36" i="2" s="1"/>
  <c r="P124" i="2"/>
  <c r="Q124" i="2" s="1"/>
  <c r="P103" i="2"/>
  <c r="Q103" i="2" s="1"/>
  <c r="P123" i="2"/>
  <c r="Q123" i="2" s="1"/>
  <c r="P57" i="2"/>
  <c r="Q57" i="2" s="1"/>
  <c r="P70" i="2"/>
  <c r="Q70" i="2" s="1"/>
  <c r="P90" i="2"/>
  <c r="Q90" i="2" s="1"/>
  <c r="P234" i="2"/>
  <c r="Q234" i="2" s="1"/>
  <c r="P280" i="2"/>
  <c r="Q280" i="2" s="1"/>
  <c r="P176" i="2"/>
  <c r="Q176" i="2" s="1"/>
  <c r="P112" i="2"/>
  <c r="Q112" i="2" s="1"/>
  <c r="P228" i="2"/>
  <c r="Q228" i="2" s="1"/>
  <c r="P155" i="2"/>
  <c r="Q155" i="2" s="1"/>
  <c r="P201" i="2"/>
  <c r="Q201" i="2" s="1"/>
  <c r="P158" i="2"/>
  <c r="Q158" i="2" s="1"/>
  <c r="P74" i="2"/>
  <c r="Q74" i="2" s="1"/>
  <c r="P25" i="2"/>
  <c r="Q25" i="2" s="1"/>
  <c r="P17" i="2"/>
  <c r="Q17" i="2" s="1"/>
  <c r="P153" i="2"/>
  <c r="Q153" i="2" s="1"/>
  <c r="P69" i="2"/>
  <c r="Q69" i="2" s="1"/>
  <c r="P98" i="2"/>
  <c r="Q98" i="2" s="1"/>
  <c r="P139" i="2"/>
  <c r="Q139" i="2" s="1"/>
  <c r="P104" i="2"/>
  <c r="Q104" i="2" s="1"/>
  <c r="P5" i="2"/>
  <c r="Q5" i="2" s="1"/>
  <c r="P54" i="2"/>
  <c r="Q54" i="2" s="1"/>
  <c r="Q156" i="2"/>
  <c r="Q186" i="2"/>
  <c r="Q247" i="2"/>
  <c r="Q108" i="2"/>
  <c r="Q3" i="2"/>
  <c r="P66" i="2"/>
  <c r="Q66" i="2" s="1"/>
  <c r="P203" i="2"/>
  <c r="Q203" i="2" s="1"/>
  <c r="P277" i="2"/>
  <c r="Q277" i="2" s="1"/>
  <c r="P274" i="2"/>
  <c r="Q274" i="2" s="1"/>
  <c r="P130" i="2"/>
  <c r="Q130" i="2" s="1"/>
  <c r="P262" i="2"/>
  <c r="Q262" i="2" s="1"/>
  <c r="P222" i="2"/>
  <c r="Q222" i="2" s="1"/>
  <c r="P138" i="2"/>
  <c r="Q138" i="2" s="1"/>
  <c r="Q256" i="2"/>
  <c r="Q214" i="2"/>
  <c r="Q281" i="2"/>
  <c r="Q82" i="2"/>
  <c r="P174" i="2"/>
  <c r="Q174" i="2" s="1"/>
  <c r="P231" i="2"/>
  <c r="Q231" i="2" s="1"/>
  <c r="P215" i="2"/>
  <c r="Q215" i="2" s="1"/>
  <c r="P287" i="2"/>
  <c r="Q287" i="2" s="1"/>
  <c r="P146" i="2"/>
  <c r="Q146" i="2" s="1"/>
  <c r="P41" i="2"/>
  <c r="Q41" i="2" s="1"/>
  <c r="Q113" i="2"/>
  <c r="P185" i="2"/>
  <c r="Q185" i="2" s="1"/>
  <c r="P252" i="2"/>
  <c r="Q252" i="2" s="1"/>
  <c r="P236" i="2"/>
  <c r="Q236" i="2" s="1"/>
  <c r="P290" i="2"/>
  <c r="Q290" i="2" s="1"/>
  <c r="P142" i="2"/>
  <c r="Q142" i="2" s="1"/>
  <c r="Q279" i="2"/>
  <c r="Q47" i="2"/>
  <c r="Q202" i="2"/>
  <c r="Q181" i="2"/>
  <c r="Q62" i="2"/>
  <c r="Q128" i="2"/>
  <c r="Q102" i="2"/>
  <c r="Q210" i="2"/>
  <c r="Q170" i="2"/>
  <c r="P137" i="2"/>
  <c r="Q137" i="2" s="1"/>
  <c r="Q160" i="2"/>
  <c r="P198" i="2"/>
  <c r="Q198" i="2" s="1"/>
  <c r="P111" i="2"/>
  <c r="Q111" i="2" s="1"/>
  <c r="P18" i="2"/>
  <c r="Q18" i="2" s="1"/>
  <c r="Q93" i="2"/>
  <c r="P291" i="2"/>
  <c r="Q291" i="2" s="1"/>
  <c r="Q241" i="2"/>
  <c r="Q85" i="2"/>
  <c r="Q122" i="2"/>
  <c r="Q9" i="2"/>
  <c r="Q173" i="2"/>
  <c r="P8" i="2"/>
  <c r="Q8" i="2" s="1"/>
  <c r="P235" i="2"/>
  <c r="Q235" i="2" s="1"/>
  <c r="P120" i="2"/>
  <c r="Q120" i="2" s="1"/>
  <c r="Q121" i="2"/>
  <c r="P119" i="2"/>
  <c r="Q119" i="2" s="1"/>
  <c r="Q143" i="2"/>
  <c r="Q187" i="2"/>
  <c r="Q14" i="2"/>
  <c r="P79" i="2"/>
  <c r="Q79" i="2" s="1"/>
  <c r="P239" i="2"/>
  <c r="Q239" i="2" s="1"/>
  <c r="P83" i="2"/>
  <c r="Q83" i="2" s="1"/>
  <c r="P99" i="2"/>
  <c r="Q99" i="2" s="1"/>
  <c r="Q117" i="2"/>
  <c r="P133" i="2"/>
  <c r="Q133" i="2" s="1"/>
  <c r="Q199" i="2"/>
  <c r="P24" i="2"/>
  <c r="Q24" i="2" s="1"/>
  <c r="Q40" i="2"/>
  <c r="Q73" i="2"/>
  <c r="P88" i="2"/>
  <c r="Q88" i="2" s="1"/>
  <c r="P171" i="2"/>
  <c r="Q171" i="2" s="1"/>
  <c r="P188" i="2"/>
  <c r="Q188" i="2" s="1"/>
  <c r="Q286" i="2"/>
  <c r="P184" i="2"/>
  <c r="Q184" i="2" s="1"/>
  <c r="P190" i="2"/>
  <c r="Q190" i="2" s="1"/>
  <c r="Q273" i="2"/>
  <c r="Q264" i="2"/>
  <c r="P154" i="2"/>
  <c r="Q154" i="2" s="1"/>
  <c r="Q257" i="2"/>
  <c r="P97" i="2"/>
  <c r="Q97" i="2" s="1"/>
  <c r="P267" i="2"/>
  <c r="Q267" i="2" s="1"/>
  <c r="P144" i="2"/>
  <c r="Q144" i="2" s="1"/>
  <c r="P63" i="2"/>
  <c r="Q63" i="2" s="1"/>
  <c r="P270" i="2"/>
  <c r="Q270" i="2" s="1"/>
  <c r="P269" i="2"/>
  <c r="Q269" i="2" s="1"/>
  <c r="Q296" i="2"/>
  <c r="Q289" i="2"/>
  <c r="Q96" i="2"/>
  <c r="Q230" i="2"/>
  <c r="Q151" i="2"/>
  <c r="Q23" i="2"/>
  <c r="Q136" i="2"/>
  <c r="P152" i="2"/>
  <c r="Q152" i="2" s="1"/>
  <c r="P195" i="2"/>
  <c r="Q195" i="2" s="1"/>
  <c r="P140" i="2"/>
  <c r="Q140" i="2" s="1"/>
  <c r="Q191" i="2"/>
  <c r="P271" i="2"/>
  <c r="Q271" i="2" s="1"/>
  <c r="Q293" i="2"/>
  <c r="Q28" i="2"/>
  <c r="P50" i="2"/>
  <c r="Q50" i="2" s="1"/>
  <c r="Q118" i="2"/>
  <c r="P182" i="2"/>
  <c r="Q182" i="2" s="1"/>
  <c r="Q253" i="2"/>
  <c r="P65" i="2"/>
  <c r="Q65" i="2" s="1"/>
  <c r="P71" i="2"/>
  <c r="Q71" i="2" s="1"/>
  <c r="Q86" i="2"/>
  <c r="P105" i="2"/>
  <c r="Q105" i="2" s="1"/>
  <c r="Q147" i="2"/>
  <c r="Q209" i="2"/>
  <c r="Q217" i="2"/>
  <c r="P255" i="2"/>
  <c r="Q255" i="2" s="1"/>
  <c r="P33" i="2"/>
  <c r="Q33" i="2" s="1"/>
  <c r="P283" i="2"/>
  <c r="Q283" i="2" s="1"/>
  <c r="Q220" i="2"/>
  <c r="Q132" i="2"/>
  <c r="P51" i="2"/>
  <c r="Q51" i="2" s="1"/>
  <c r="P193" i="2"/>
  <c r="Q193" i="2" s="1"/>
  <c r="P216" i="2"/>
  <c r="Q216" i="2" s="1"/>
  <c r="Q95" i="2"/>
  <c r="P200" i="2"/>
  <c r="Q200" i="2" s="1"/>
  <c r="P42" i="2"/>
  <c r="Q42" i="2" s="1"/>
  <c r="P213" i="2"/>
  <c r="Q213" i="2" s="1"/>
  <c r="Q212" i="2"/>
  <c r="Q275" i="2"/>
  <c r="P52" i="2"/>
  <c r="Q52" i="2" s="1"/>
  <c r="Q13" i="2"/>
  <c r="P109" i="2"/>
  <c r="Q109" i="2" s="1"/>
  <c r="Q179" i="2"/>
  <c r="P19" i="2"/>
  <c r="Q19" i="2" s="1"/>
  <c r="P31" i="2"/>
  <c r="Q31" i="2" s="1"/>
  <c r="P53" i="2"/>
  <c r="Q53" i="2" s="1"/>
  <c r="P72" i="2"/>
  <c r="Q72" i="2" s="1"/>
  <c r="Q218" i="2"/>
  <c r="P91" i="2"/>
  <c r="Q91" i="2" s="1"/>
  <c r="Q259" i="2"/>
  <c r="P60" i="2"/>
  <c r="Q60" i="2" s="1"/>
  <c r="P77" i="2"/>
  <c r="Q77" i="2" s="1"/>
  <c r="P84" i="2"/>
  <c r="Q84" i="2" s="1"/>
  <c r="Q229" i="2"/>
  <c r="P282" i="2"/>
  <c r="Q282" i="2" s="1"/>
  <c r="Q94" i="2"/>
  <c r="P166" i="2"/>
  <c r="Q166" i="2" s="1"/>
  <c r="P221" i="2"/>
  <c r="Q221" i="2" s="1"/>
  <c r="P242" i="2"/>
  <c r="Q242" i="2" s="1"/>
  <c r="Q261" i="2"/>
  <c r="P115" i="2"/>
  <c r="Q115" i="2" s="1"/>
  <c r="P245" i="2"/>
  <c r="Q245" i="2" s="1"/>
  <c r="P101" i="2"/>
  <c r="Q101" i="2" s="1"/>
  <c r="P249" i="2"/>
  <c r="Q249" i="2" s="1"/>
  <c r="Q266" i="2"/>
  <c r="Q92" i="2"/>
  <c r="Q148" i="2"/>
  <c r="Q168" i="2"/>
  <c r="Q38" i="2"/>
  <c r="Q295" i="2"/>
  <c r="Q159" i="2"/>
  <c r="Q39" i="2"/>
  <c r="Q167" i="2"/>
  <c r="Q35" i="2"/>
  <c r="Q7" i="2"/>
  <c r="Q163" i="2"/>
  <c r="Q45" i="2"/>
  <c r="Q244" i="2"/>
  <c r="Q129" i="2"/>
  <c r="Q78" i="2"/>
  <c r="A8" i="1" l="1"/>
  <c r="A6" i="1"/>
  <c r="L65" i="2" l="1"/>
  <c r="C65" i="2" s="1"/>
  <c r="L71" i="2" l="1"/>
  <c r="C71" i="2" s="1"/>
  <c r="L147" i="2"/>
  <c r="C147" i="2" s="1"/>
  <c r="L55" i="2"/>
  <c r="C55" i="2" s="1"/>
  <c r="L166" i="2"/>
  <c r="C166" i="2" s="1"/>
  <c r="L135" i="2"/>
  <c r="C135" i="2" s="1"/>
  <c r="L239" i="2"/>
  <c r="C239" i="2" s="1"/>
  <c r="L53" i="2"/>
  <c r="C53" i="2" s="1"/>
  <c r="L64" i="2"/>
  <c r="C64" i="2" s="1"/>
  <c r="L59" i="2"/>
  <c r="C59" i="2" s="1"/>
  <c r="L152" i="2"/>
  <c r="C152" i="2" s="1"/>
  <c r="L208" i="2"/>
  <c r="C208" i="2" s="1"/>
  <c r="L103" i="2"/>
  <c r="C103" i="2" s="1"/>
  <c r="L106" i="2"/>
  <c r="C106" i="2" s="1"/>
  <c r="L98" i="2"/>
  <c r="C98" i="2" s="1"/>
  <c r="L260" i="2"/>
  <c r="C260" i="2" s="1"/>
  <c r="L195" i="2"/>
  <c r="C195" i="2" s="1"/>
  <c r="L67" i="2"/>
  <c r="C67" i="2" s="1"/>
  <c r="L274" i="2"/>
  <c r="C274" i="2" s="1"/>
  <c r="L72" i="2"/>
  <c r="C72" i="2" s="1"/>
  <c r="L180" i="2"/>
  <c r="C180" i="2" s="1"/>
  <c r="L218" i="2"/>
  <c r="C218" i="2" s="1"/>
  <c r="L102" i="2"/>
  <c r="C102" i="2" s="1"/>
  <c r="L210" i="2"/>
  <c r="C210" i="2" s="1"/>
  <c r="L116" i="2"/>
  <c r="C116" i="2" s="1"/>
  <c r="L177" i="2"/>
  <c r="C177" i="2" s="1"/>
  <c r="L68" i="2"/>
  <c r="C68" i="2" s="1"/>
  <c r="L21" i="2"/>
  <c r="C21" i="2" s="1"/>
  <c r="L212" i="2"/>
  <c r="C212" i="2" s="1"/>
  <c r="L36" i="2"/>
  <c r="C36" i="2" s="1"/>
  <c r="L234" i="2"/>
  <c r="C234" i="2" s="1"/>
  <c r="L189" i="2"/>
  <c r="C189" i="2" s="1"/>
  <c r="L56" i="2"/>
  <c r="C56" i="2" s="1"/>
  <c r="L77" i="2"/>
  <c r="C77" i="2" s="1"/>
  <c r="L8" i="2"/>
  <c r="C8" i="2" s="1"/>
  <c r="L202" i="2"/>
  <c r="C202" i="2" s="1"/>
  <c r="L31" i="2"/>
  <c r="C31" i="2" s="1"/>
  <c r="L170" i="2"/>
  <c r="C170" i="2" s="1"/>
  <c r="L111" i="2"/>
  <c r="C111" i="2" s="1"/>
  <c r="L233" i="2"/>
  <c r="C233" i="2" s="1"/>
  <c r="L221" i="2"/>
  <c r="C221" i="2" s="1"/>
  <c r="L20" i="2"/>
  <c r="C20" i="2" s="1"/>
  <c r="L194" i="2"/>
  <c r="C194" i="2" s="1"/>
  <c r="L236" i="2"/>
  <c r="C236" i="2" s="1"/>
  <c r="L154" i="2"/>
  <c r="C154" i="2" s="1"/>
  <c r="L259" i="2"/>
  <c r="C259" i="2" s="1"/>
  <c r="L237" i="2"/>
  <c r="C237" i="2" s="1"/>
  <c r="L231" i="2"/>
  <c r="C231" i="2" s="1"/>
  <c r="L150" i="2"/>
  <c r="C150" i="2" s="1"/>
  <c r="L277" i="2"/>
  <c r="C277" i="2" s="1"/>
  <c r="L265" i="2"/>
  <c r="C265" i="2" s="1"/>
  <c r="L35" i="2"/>
  <c r="C35" i="2" s="1"/>
  <c r="L258" i="2"/>
  <c r="C258" i="2" s="1"/>
  <c r="L175" i="2"/>
  <c r="C175" i="2" s="1"/>
  <c r="L252" i="2"/>
  <c r="C252" i="2" s="1"/>
  <c r="L296" i="2"/>
  <c r="C296" i="2" s="1"/>
  <c r="L257" i="2"/>
  <c r="C257" i="2" s="1"/>
  <c r="L211" i="2"/>
  <c r="C211" i="2" s="1"/>
  <c r="L89" i="2"/>
  <c r="C89" i="2" s="1"/>
  <c r="L84" i="2"/>
  <c r="C84" i="2" s="1"/>
  <c r="L227" i="2"/>
  <c r="C227" i="2" s="1"/>
  <c r="L17" i="2"/>
  <c r="C17" i="2" s="1"/>
  <c r="L230" i="2"/>
  <c r="C230" i="2" s="1"/>
  <c r="L109" i="2"/>
  <c r="C109" i="2" s="1"/>
  <c r="L290" i="2"/>
  <c r="C290" i="2" s="1"/>
  <c r="L145" i="2"/>
  <c r="C145" i="2" s="1"/>
  <c r="L213" i="2"/>
  <c r="C213" i="2" s="1"/>
  <c r="L192" i="2"/>
  <c r="C192" i="2" s="1"/>
  <c r="L85" i="2"/>
  <c r="C85" i="2" s="1"/>
  <c r="L29" i="2"/>
  <c r="C29" i="2" s="1"/>
  <c r="L110" i="2"/>
  <c r="C110" i="2" s="1"/>
  <c r="L134" i="2"/>
  <c r="C134" i="2" s="1"/>
  <c r="L162" i="2"/>
  <c r="C162" i="2" s="1"/>
  <c r="L73" i="2"/>
  <c r="C73" i="2" s="1"/>
  <c r="L15" i="2"/>
  <c r="C15" i="2" s="1"/>
  <c r="L96" i="2"/>
  <c r="C96" i="2" s="1"/>
  <c r="L181" i="2"/>
  <c r="C181" i="2" s="1"/>
  <c r="L27" i="2"/>
  <c r="C27" i="2" s="1"/>
  <c r="L125" i="2"/>
  <c r="C125" i="2" s="1"/>
  <c r="L61" i="2"/>
  <c r="C61" i="2" s="1"/>
  <c r="L219" i="2"/>
  <c r="C219" i="2" s="1"/>
  <c r="L52" i="2"/>
  <c r="C52" i="2" s="1"/>
  <c r="L141" i="2"/>
  <c r="C141" i="2" s="1"/>
  <c r="L63" i="2"/>
  <c r="C63" i="2" s="1"/>
  <c r="L263" i="2"/>
  <c r="C263" i="2" s="1"/>
  <c r="L114" i="2"/>
  <c r="C114" i="2" s="1"/>
  <c r="L249" i="2"/>
  <c r="C249" i="2" s="1"/>
  <c r="L198" i="2"/>
  <c r="C198" i="2" s="1"/>
  <c r="L178" i="2"/>
  <c r="C178" i="2" s="1"/>
  <c r="L205" i="2"/>
  <c r="C205" i="2" s="1"/>
  <c r="L171" i="2"/>
  <c r="C171" i="2" s="1"/>
  <c r="L78" i="2"/>
  <c r="C78" i="2" s="1"/>
  <c r="L37" i="2"/>
  <c r="C37" i="2" s="1"/>
  <c r="L291" i="2"/>
  <c r="C291" i="2" s="1"/>
  <c r="L43" i="2"/>
  <c r="C43" i="2" s="1"/>
  <c r="E13" i="1" s="1"/>
  <c r="L128" i="2"/>
  <c r="C128" i="2" s="1"/>
  <c r="L215" i="2"/>
  <c r="C215" i="2" s="1"/>
  <c r="L294" i="2"/>
  <c r="C294" i="2" s="1"/>
  <c r="L60" i="2"/>
  <c r="C60" i="2" s="1"/>
  <c r="L235" i="2"/>
  <c r="C235" i="2" s="1"/>
  <c r="L266" i="2"/>
  <c r="C266" i="2" s="1"/>
  <c r="L122" i="2"/>
  <c r="C122" i="2" s="1"/>
  <c r="L142" i="2"/>
  <c r="C142" i="2" s="1"/>
  <c r="L108" i="2"/>
  <c r="C108" i="2" s="1"/>
  <c r="L74" i="2"/>
  <c r="C74" i="2" s="1"/>
  <c r="L197" i="2"/>
  <c r="C197" i="2" s="1"/>
  <c r="L238" i="2"/>
  <c r="C238" i="2" s="1"/>
  <c r="L191" i="2"/>
  <c r="C191" i="2" s="1"/>
  <c r="L193" i="2"/>
  <c r="C193" i="2" s="1"/>
  <c r="L80" i="2"/>
  <c r="C80" i="2" s="1"/>
  <c r="L196" i="2"/>
  <c r="C196" i="2" s="1"/>
  <c r="L280" i="2"/>
  <c r="C280" i="2" s="1"/>
  <c r="L133" i="2"/>
  <c r="C133" i="2" s="1"/>
  <c r="L28" i="2"/>
  <c r="C28" i="2" s="1"/>
  <c r="L190" i="2"/>
  <c r="C190" i="2" s="1"/>
  <c r="L24" i="2"/>
  <c r="C24" i="2" s="1"/>
  <c r="L124" i="2"/>
  <c r="C124" i="2" s="1"/>
  <c r="L185" i="2"/>
  <c r="C185" i="2" s="1"/>
  <c r="L183" i="2"/>
  <c r="C183" i="2" s="1"/>
  <c r="L83" i="2"/>
  <c r="C83" i="2" s="1"/>
  <c r="L88" i="2"/>
  <c r="C88" i="2" s="1"/>
  <c r="L184" i="2"/>
  <c r="C184" i="2" s="1"/>
  <c r="L138" i="2"/>
  <c r="C138" i="2" s="1"/>
  <c r="L151" i="2"/>
  <c r="C151" i="2" s="1"/>
  <c r="L250" i="2"/>
  <c r="C250" i="2" s="1"/>
  <c r="L119" i="2"/>
  <c r="C119" i="2" s="1"/>
  <c r="L232" i="2"/>
  <c r="C232" i="2" s="1"/>
  <c r="L13" i="2"/>
  <c r="C13" i="2" s="1"/>
  <c r="L105" i="2"/>
  <c r="C105" i="2" s="1"/>
  <c r="L242" i="2"/>
  <c r="C242" i="2" s="1"/>
  <c r="L18" i="2"/>
  <c r="C18" i="2" s="1"/>
  <c r="L39" i="2"/>
  <c r="C39" i="2" s="1"/>
  <c r="L214" i="2"/>
  <c r="C214" i="2" s="1"/>
  <c r="L244" i="2"/>
  <c r="C244" i="2" s="1"/>
  <c r="L127" i="2"/>
  <c r="C127" i="2" s="1"/>
  <c r="L143" i="2"/>
  <c r="C143" i="2" s="1"/>
  <c r="L139" i="2"/>
  <c r="C139" i="2" s="1"/>
  <c r="L199" i="2"/>
  <c r="C199" i="2" s="1"/>
  <c r="L158" i="2"/>
  <c r="C158" i="2" s="1"/>
  <c r="L172" i="2"/>
  <c r="C172" i="2" s="1"/>
  <c r="L57" i="2"/>
  <c r="C57" i="2" s="1"/>
  <c r="L12" i="2"/>
  <c r="C12" i="2" s="1"/>
  <c r="L7" i="2"/>
  <c r="C7" i="2" s="1"/>
  <c r="L186" i="2"/>
  <c r="C186" i="2" s="1"/>
  <c r="L201" i="2"/>
  <c r="C201" i="2" s="1"/>
  <c r="L223" i="2"/>
  <c r="C223" i="2" s="1"/>
  <c r="L241" i="2"/>
  <c r="C241" i="2" s="1"/>
  <c r="L240" i="2"/>
  <c r="C240" i="2" s="1"/>
  <c r="L66" i="2"/>
  <c r="C66" i="2" s="1"/>
  <c r="L51" i="2"/>
  <c r="C51" i="2" s="1"/>
  <c r="L245" i="2"/>
  <c r="C245" i="2" s="1"/>
  <c r="L203" i="2"/>
  <c r="C203" i="2" s="1"/>
  <c r="L41" i="2"/>
  <c r="C41" i="2" s="1"/>
  <c r="L200" i="2"/>
  <c r="C200" i="2" s="1"/>
  <c r="L164" i="2"/>
  <c r="C164" i="2" s="1"/>
  <c r="L121" i="2"/>
  <c r="C121" i="2" s="1"/>
  <c r="L149" i="2"/>
  <c r="C149" i="2" s="1"/>
  <c r="L137" i="2"/>
  <c r="C137" i="2" s="1"/>
  <c r="L275" i="2"/>
  <c r="C275" i="2" s="1"/>
  <c r="L115" i="2"/>
  <c r="C115" i="2" s="1"/>
  <c r="L188" i="2"/>
  <c r="C188" i="2" s="1"/>
  <c r="L155" i="2"/>
  <c r="C155" i="2" s="1"/>
  <c r="L50" i="2"/>
  <c r="C50" i="2" s="1"/>
  <c r="L272" i="2"/>
  <c r="C272" i="2" s="1"/>
  <c r="L91" i="2"/>
  <c r="C91" i="2" s="1"/>
  <c r="L267" i="2"/>
  <c r="C267" i="2" s="1"/>
  <c r="L9" i="2"/>
  <c r="C9" i="2" s="1"/>
  <c r="L95" i="2"/>
  <c r="C95" i="2" s="1"/>
  <c r="L160" i="2"/>
  <c r="C160" i="2" s="1"/>
  <c r="L220" i="2"/>
  <c r="C220" i="2" s="1"/>
  <c r="L132" i="2"/>
  <c r="C132" i="2" s="1"/>
  <c r="L187" i="2"/>
  <c r="C187" i="2" s="1"/>
  <c r="L62" i="2"/>
  <c r="C62" i="2" s="1"/>
  <c r="L123" i="2"/>
  <c r="C123" i="2" s="1"/>
  <c r="L129" i="2"/>
  <c r="C129" i="2" s="1"/>
  <c r="L207" i="2"/>
  <c r="C207" i="2" s="1"/>
  <c r="L246" i="2"/>
  <c r="C246" i="2" s="1"/>
  <c r="L54" i="2"/>
  <c r="C54" i="2" s="1"/>
  <c r="L76" i="2"/>
  <c r="C76" i="2" s="1"/>
  <c r="L47" i="2"/>
  <c r="C47" i="2" s="1"/>
  <c r="L5" i="2"/>
  <c r="C5" i="2" s="1"/>
  <c r="L167" i="2"/>
  <c r="C167" i="2" s="1"/>
  <c r="L182" i="2"/>
  <c r="C182" i="2" s="1"/>
  <c r="L26" i="2"/>
  <c r="C26" i="2" s="1"/>
  <c r="L23" i="2"/>
  <c r="C23" i="2" s="1"/>
  <c r="L101" i="2"/>
  <c r="C101" i="2" s="1"/>
  <c r="L283" i="2"/>
  <c r="C283" i="2" s="1"/>
  <c r="L204" i="2"/>
  <c r="C204" i="2" s="1"/>
  <c r="L48" i="2"/>
  <c r="C48" i="2" s="1"/>
  <c r="L117" i="2"/>
  <c r="C117" i="2" s="1"/>
  <c r="L126" i="2"/>
  <c r="C126" i="2" s="1"/>
  <c r="L159" i="2"/>
  <c r="C159" i="2" s="1"/>
  <c r="L144" i="2"/>
  <c r="C144" i="2" s="1"/>
  <c r="L6" i="2"/>
  <c r="C6" i="2" s="1"/>
  <c r="L174" i="2"/>
  <c r="C174" i="2" s="1"/>
  <c r="L253" i="2"/>
  <c r="C253" i="2" s="1"/>
  <c r="L287" i="2"/>
  <c r="C287" i="2" s="1"/>
  <c r="L97" i="2"/>
  <c r="C97" i="2" s="1"/>
  <c r="L46" i="2"/>
  <c r="C46" i="2" s="1"/>
  <c r="L86" i="2"/>
  <c r="C86" i="2" s="1"/>
  <c r="L99" i="2"/>
  <c r="C99" i="2" s="1"/>
  <c r="L82" i="2"/>
  <c r="C82" i="2" s="1"/>
  <c r="L209" i="2"/>
  <c r="C209" i="2" s="1"/>
  <c r="L206" i="2"/>
  <c r="C206" i="2" s="1"/>
  <c r="L4" i="2"/>
  <c r="C4" i="2" s="1"/>
  <c r="L11" i="2"/>
  <c r="C11" i="2" s="1"/>
  <c r="L130" i="2"/>
  <c r="C130" i="2" s="1"/>
  <c r="L216" i="2"/>
  <c r="C216" i="2" s="1"/>
  <c r="L168" i="2"/>
  <c r="C168" i="2" s="1"/>
  <c r="L70" i="2"/>
  <c r="C70" i="2" s="1"/>
  <c r="L104" i="2"/>
  <c r="C104" i="2" s="1"/>
  <c r="L19" i="2"/>
  <c r="C19" i="2" s="1"/>
  <c r="L225" i="2"/>
  <c r="C225" i="2" s="1"/>
  <c r="L131" i="2"/>
  <c r="C131" i="2" s="1"/>
  <c r="L25" i="2"/>
  <c r="C25" i="2" s="1"/>
  <c r="L173" i="2"/>
  <c r="C173" i="2" s="1"/>
  <c r="L153" i="2"/>
  <c r="C153" i="2" s="1"/>
  <c r="L32" i="2"/>
  <c r="C32" i="2" s="1"/>
  <c r="L22" i="2"/>
  <c r="C22" i="2" s="1"/>
  <c r="L176" i="2"/>
  <c r="C176" i="2" s="1"/>
  <c r="L100" i="2"/>
  <c r="C100" i="2" s="1"/>
  <c r="L161" i="2"/>
  <c r="C161" i="2" s="1"/>
  <c r="L169" i="2"/>
  <c r="C169" i="2" s="1"/>
  <c r="L228" i="2"/>
  <c r="C228" i="2" s="1"/>
  <c r="L146" i="2"/>
  <c r="C146" i="2" s="1"/>
  <c r="L248" i="2"/>
  <c r="C248" i="2" s="1"/>
  <c r="L278" i="2"/>
  <c r="C278" i="2" s="1"/>
  <c r="L81" i="2"/>
  <c r="C81" i="2" s="1"/>
  <c r="L284" i="2"/>
  <c r="C284" i="2" s="1"/>
  <c r="L3" i="2" l="1"/>
  <c r="C3" i="2" s="1"/>
  <c r="L286" i="2"/>
  <c r="C286" i="2" s="1"/>
  <c r="L288" i="2"/>
  <c r="C288" i="2" s="1"/>
  <c r="L256" i="2"/>
  <c r="C256" i="2" s="1"/>
  <c r="L69" i="2"/>
  <c r="C69" i="2" s="1"/>
  <c r="L44" i="2"/>
  <c r="C44" i="2" s="1"/>
  <c r="L75" i="2"/>
  <c r="C75" i="2" s="1"/>
  <c r="L90" i="2"/>
  <c r="C90" i="2" s="1"/>
  <c r="L156" i="2"/>
  <c r="C156" i="2" s="1"/>
  <c r="L269" i="2"/>
  <c r="C269" i="2" s="1"/>
  <c r="L254" i="2"/>
  <c r="C254" i="2" s="1"/>
  <c r="L264" i="2"/>
  <c r="C264" i="2" s="1"/>
  <c r="L163" i="2"/>
  <c r="C163" i="2" s="1"/>
  <c r="L120" i="2"/>
  <c r="C120" i="2" s="1"/>
  <c r="L273" i="2"/>
  <c r="C273" i="2" s="1"/>
  <c r="L179" i="2"/>
  <c r="C179" i="2" s="1"/>
  <c r="L285" i="2"/>
  <c r="C285" i="2" s="1"/>
  <c r="L262" i="2"/>
  <c r="C262" i="2" s="1"/>
  <c r="L222" i="2"/>
  <c r="C222" i="2" s="1"/>
  <c r="L30" i="2"/>
  <c r="C30" i="2" s="1"/>
  <c r="L165" i="2"/>
  <c r="C165" i="2" s="1"/>
  <c r="L229" i="2"/>
  <c r="C229" i="2" s="1"/>
  <c r="L118" i="2"/>
  <c r="C118" i="2" s="1"/>
  <c r="L243" i="2"/>
  <c r="C243" i="2" s="1"/>
  <c r="L270" i="2"/>
  <c r="C270" i="2" s="1"/>
  <c r="L93" i="2"/>
  <c r="C93" i="2" s="1"/>
  <c r="L92" i="2"/>
  <c r="C92" i="2" s="1"/>
  <c r="L10" i="2"/>
  <c r="C10" i="2" s="1"/>
  <c r="L34" i="2"/>
  <c r="C34" i="2" s="1"/>
  <c r="L33" i="2"/>
  <c r="C33" i="2" s="1"/>
  <c r="L261" i="2"/>
  <c r="C261" i="2" s="1"/>
  <c r="L14" i="2"/>
  <c r="C14" i="2" s="1"/>
  <c r="L79" i="2"/>
  <c r="C79" i="2" s="1"/>
  <c r="L217" i="2"/>
  <c r="C217" i="2" s="1"/>
  <c r="L255" i="2"/>
  <c r="C255" i="2" s="1"/>
  <c r="L58" i="2"/>
  <c r="C58" i="2" s="1"/>
  <c r="L281" i="2"/>
  <c r="C281" i="2" s="1"/>
  <c r="L45" i="2"/>
  <c r="C45" i="2" s="1"/>
  <c r="L251" i="2"/>
  <c r="C251" i="2" s="1"/>
  <c r="L49" i="2"/>
  <c r="C49" i="2" s="1"/>
  <c r="L157" i="2"/>
  <c r="C157" i="2" s="1"/>
  <c r="L276" i="2"/>
  <c r="C276" i="2" s="1"/>
  <c r="L279" i="2"/>
  <c r="C279" i="2" s="1"/>
  <c r="L271" i="2"/>
  <c r="C271" i="2" s="1"/>
  <c r="L112" i="2"/>
  <c r="C112" i="2" s="1"/>
  <c r="L289" i="2"/>
  <c r="C289" i="2" s="1"/>
  <c r="L107" i="2"/>
  <c r="C107" i="2" s="1"/>
  <c r="L295" i="2"/>
  <c r="C295" i="2" s="1"/>
  <c r="L292" i="2"/>
  <c r="C292" i="2" s="1"/>
  <c r="L136" i="2"/>
  <c r="C136" i="2" s="1"/>
  <c r="L140" i="2"/>
  <c r="C140" i="2" s="1"/>
  <c r="L42" i="2"/>
  <c r="C42" i="2" s="1"/>
  <c r="L148" i="2"/>
  <c r="C148" i="2" s="1"/>
  <c r="L113" i="2"/>
  <c r="C113" i="2" s="1"/>
  <c r="L247" i="2"/>
  <c r="C247" i="2" s="1"/>
  <c r="L38" i="2"/>
  <c r="C38" i="2" s="1"/>
  <c r="L224" i="2"/>
  <c r="C224" i="2" s="1"/>
  <c r="L94" i="2"/>
  <c r="C94" i="2" s="1"/>
  <c r="L293" i="2"/>
  <c r="C293" i="2" s="1"/>
  <c r="L40" i="2"/>
  <c r="C40" i="2" s="1"/>
  <c r="L16" i="2"/>
  <c r="C16" i="2" s="1"/>
  <c r="L87" i="2"/>
  <c r="C87" i="2" s="1"/>
  <c r="L226" i="2"/>
  <c r="C226" i="2" s="1"/>
  <c r="L282" i="2"/>
  <c r="C282" i="2" s="1"/>
  <c r="L268" i="2"/>
  <c r="C268" i="2" s="1"/>
  <c r="E14" i="1"/>
  <c r="E21" i="1"/>
  <c r="E22" i="1" s="1"/>
  <c r="A15" i="1" l="1"/>
  <c r="F22" i="1"/>
  <c r="H16" i="1"/>
  <c r="A14" i="1"/>
  <c r="A30" i="1"/>
</calcChain>
</file>

<file path=xl/sharedStrings.xml><?xml version="1.0" encoding="utf-8"?>
<sst xmlns="http://schemas.openxmlformats.org/spreadsheetml/2006/main" count="524" uniqueCount="450">
  <si>
    <t>School Name:</t>
  </si>
  <si>
    <t>B01</t>
  </si>
  <si>
    <t>B02</t>
  </si>
  <si>
    <t>B06 c/f</t>
  </si>
  <si>
    <t>Row</t>
  </si>
  <si>
    <t>DfE No:</t>
  </si>
  <si>
    <t>Crockenhill Primary School</t>
  </si>
  <si>
    <t>Cobham Primary School</t>
  </si>
  <si>
    <t>Higham Primary School</t>
  </si>
  <si>
    <t>Lawn Primary School</t>
  </si>
  <si>
    <t>Bean Primary School</t>
  </si>
  <si>
    <t>Capel Primary School</t>
  </si>
  <si>
    <t>Dunton Green Primary School</t>
  </si>
  <si>
    <t>Kemsing Primary School</t>
  </si>
  <si>
    <t>Leigh Primary School</t>
  </si>
  <si>
    <t>Otford Primary School</t>
  </si>
  <si>
    <t>Pembury School</t>
  </si>
  <si>
    <t>Sandhurst Primary School</t>
  </si>
  <si>
    <t>Weald Community Primary School</t>
  </si>
  <si>
    <t>Shoreham Village School</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</si>
  <si>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</si>
  <si>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</si>
  <si>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</si>
  <si>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</si>
  <si>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</si>
  <si>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</si>
  <si>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</si>
  <si>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</si>
  <si>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</si>
  <si>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</si>
  <si>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</si>
  <si>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</si>
  <si>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</si>
  <si>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</si>
  <si>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</si>
  <si>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</si>
  <si>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</si>
  <si>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</si>
  <si>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</si>
  <si>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</si>
  <si>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Davington Primary School</t>
  </si>
  <si>
    <t>Lower Halstow School</t>
  </si>
  <si>
    <t>Rodmersham School</t>
  </si>
  <si>
    <t>Canterbury Road Primary School</t>
  </si>
  <si>
    <t>Blean Primary School</t>
  </si>
  <si>
    <t>Herne Bay Infant School</t>
  </si>
  <si>
    <t>Hoath Primary School</t>
  </si>
  <si>
    <t>Westmeads Community Infant School</t>
  </si>
  <si>
    <t>Whitstable Junior School</t>
  </si>
  <si>
    <t>Aldington Primary School</t>
  </si>
  <si>
    <t>Victoria Road Primary School</t>
  </si>
  <si>
    <t>Willesborough Infant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</si>
  <si>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</si>
  <si>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</si>
  <si>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</si>
  <si>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</si>
  <si>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</si>
  <si>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</si>
  <si>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</si>
  <si>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</si>
  <si>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</si>
  <si>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</si>
  <si>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</si>
  <si>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</si>
  <si>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</si>
  <si>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</si>
  <si>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</si>
  <si>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</si>
  <si>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</si>
  <si>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</si>
  <si>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</si>
  <si>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</si>
  <si>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</si>
  <si>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 School</t>
  </si>
  <si>
    <t>Claremont Primary School</t>
  </si>
  <si>
    <t>St Paul's Infant School</t>
  </si>
  <si>
    <t>Langton Green Primary School</t>
  </si>
  <si>
    <t>Bishops Down Primary School</t>
  </si>
  <si>
    <t>Singlewell Primary School</t>
  </si>
  <si>
    <t>Cheriton Primary School</t>
  </si>
  <si>
    <t>Brookfield Infant School</t>
  </si>
  <si>
    <t>Vigo Village School</t>
  </si>
  <si>
    <t>Madginford Park Infant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</si>
  <si>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</si>
  <si>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</si>
  <si>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</si>
  <si>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</si>
  <si>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</si>
  <si>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</si>
  <si>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</si>
  <si>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</si>
  <si>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</si>
  <si>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</si>
  <si>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</si>
  <si>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</si>
  <si>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Bromstone Primary School, Broadstairs</t>
  </si>
  <si>
    <t>Parkside Community Primary School</t>
  </si>
  <si>
    <t>High Firs Primary School</t>
  </si>
  <si>
    <t>Sandwich Junior School</t>
  </si>
  <si>
    <t>Sevenoaks Primary School</t>
  </si>
  <si>
    <t>Swalecliffe Community Primary School</t>
  </si>
  <si>
    <t>Aylesham Primary School</t>
  </si>
  <si>
    <t>West Borough Primary School</t>
  </si>
  <si>
    <t>Long Mead Community Primary School</t>
  </si>
  <si>
    <t>Kings Farm Primary School</t>
  </si>
  <si>
    <t>Kings Hill School</t>
  </si>
  <si>
    <t>New Ash Green Primary School</t>
  </si>
  <si>
    <t>Lady Joanna Thornhill (Endowed) Primary School</t>
  </si>
  <si>
    <t>St Ethelbert's Catholic Primary School, Ramsgate</t>
  </si>
  <si>
    <t>Our Lady's Catholic Primary School, Dartford</t>
  </si>
  <si>
    <t>St Thomas' Catholic Primary School, Canterbury</t>
  </si>
  <si>
    <t>Phoenix Community Primary School</t>
  </si>
  <si>
    <t>Hextable Primary School</t>
  </si>
  <si>
    <t>Joy Lane Primary School</t>
  </si>
  <si>
    <t>Green Park Community Primary School</t>
  </si>
  <si>
    <t>Tunbridge Wells Girls' Grammar School</t>
  </si>
  <si>
    <t>Tunbridge Wells Grammar School for Boys</t>
  </si>
  <si>
    <t>Dover Grammar School for Girls</t>
  </si>
  <si>
    <t>Maidstone Grammar School for Girls</t>
  </si>
  <si>
    <t>Simon Langton Girls' Grammar School</t>
  </si>
  <si>
    <t>Borough Green Primary School</t>
  </si>
  <si>
    <t>Roseacre Junior School</t>
  </si>
  <si>
    <t>Herne Bay Junior School</t>
  </si>
  <si>
    <t>St Francis' Catholic School, Maidstone</t>
  </si>
  <si>
    <t>Ditton Infant School</t>
  </si>
  <si>
    <t>Greatstone Primary School</t>
  </si>
  <si>
    <t>Wincheap Foundation Primary School</t>
  </si>
  <si>
    <t>Harcourt Primary School</t>
  </si>
  <si>
    <t>Willesborough Junior School</t>
  </si>
  <si>
    <t>Thamesview School</t>
  </si>
  <si>
    <t>Simon Langton Grammar School for Boys</t>
  </si>
  <si>
    <t>Northfleet Technology College</t>
  </si>
  <si>
    <t>Dover Grammar School for Boys</t>
  </si>
  <si>
    <t>Broomhill Bank School</t>
  </si>
  <si>
    <t>Valence School</t>
  </si>
  <si>
    <t>Bower Grove School</t>
  </si>
  <si>
    <t>St Anthony's School</t>
  </si>
  <si>
    <t>Highview School</t>
  </si>
  <si>
    <t>Rowhill School</t>
  </si>
  <si>
    <t>Five Acre Wood School</t>
  </si>
  <si>
    <t>Stone Bay School</t>
  </si>
  <si>
    <t>St Nicholas' School</t>
  </si>
  <si>
    <t>Portal House School</t>
  </si>
  <si>
    <t>Oakley School</t>
  </si>
  <si>
    <t>St Michael's CEJ School, Maidstone</t>
  </si>
  <si>
    <t>St Michael's CEI School, Maidstone</t>
  </si>
  <si>
    <t>BCM</t>
  </si>
  <si>
    <t>Ethelbert Road Primary School</t>
  </si>
  <si>
    <t>Repton Manor</t>
  </si>
  <si>
    <t>Northfleet Nursery School</t>
  </si>
  <si>
    <t>Birchwood PRU</t>
  </si>
  <si>
    <t>Thanet &amp; Dover AC PRU</t>
  </si>
  <si>
    <t>West Kent AC Pru (Ton, Tun Wells &amp; Sev)</t>
  </si>
  <si>
    <t>St John's CE School</t>
  </si>
  <si>
    <t>Discovery School, The</t>
  </si>
  <si>
    <t>Anthony Roper Primary School, The</t>
  </si>
  <si>
    <t>Cecil Road Primary and Nursery School</t>
  </si>
  <si>
    <t>Hadlow Primary School</t>
  </si>
  <si>
    <t xml:space="preserve">Slade Primary School </t>
  </si>
  <si>
    <t>Rose Street School</t>
  </si>
  <si>
    <t>Bethersden Primary School</t>
  </si>
  <si>
    <t>Broadwater Primary School</t>
  </si>
  <si>
    <t>Craylands School, The</t>
  </si>
  <si>
    <t>St Paul's CEP School</t>
  </si>
  <si>
    <t>Fawkham CEP School</t>
  </si>
  <si>
    <t>Benenden CEP School</t>
  </si>
  <si>
    <t>Bidborough CEP School</t>
  </si>
  <si>
    <t>Cranbrook CEP School</t>
  </si>
  <si>
    <t>Goudhurst &amp; Kilndown CEP School</t>
  </si>
  <si>
    <t>Hawkhurst CEP School</t>
  </si>
  <si>
    <t>Hildenborough CEP School</t>
  </si>
  <si>
    <t>Lamberhurst St Mary's CEP School</t>
  </si>
  <si>
    <t>St John's CEP School, Sevenoaks</t>
  </si>
  <si>
    <t>Speldhurst CEP School</t>
  </si>
  <si>
    <t>Sundridge and Brasted CEP School</t>
  </si>
  <si>
    <t>St John's CEP School</t>
  </si>
  <si>
    <t>St Mark's CEP School</t>
  </si>
  <si>
    <t>St Peter's CEP School - Tun Wells</t>
  </si>
  <si>
    <t>Crockham Hill CEP School</t>
  </si>
  <si>
    <t>Churchill CEP School</t>
  </si>
  <si>
    <t>St Peter's C of E Primary School</t>
  </si>
  <si>
    <t>Bredhurst CEP School</t>
  </si>
  <si>
    <t>Burham CEP School</t>
  </si>
  <si>
    <t>Harrietsham CEP School</t>
  </si>
  <si>
    <t>Leeds &amp; Broomfield CEP School</t>
  </si>
  <si>
    <t>Thurnham CEI School</t>
  </si>
  <si>
    <t>Trottiscliffe CEP School</t>
  </si>
  <si>
    <t>Ulcombe CEP School</t>
  </si>
  <si>
    <t>Wateringbury CEP School</t>
  </si>
  <si>
    <t>Wouldham All Saints CoE Primary School</t>
  </si>
  <si>
    <t>St George's CEP School</t>
  </si>
  <si>
    <t>St Margaret's CEP School, Collier Street</t>
  </si>
  <si>
    <t>Laddingford St Mary's CEP School</t>
  </si>
  <si>
    <t>Yalding St Peter &amp; St Paul CEP School</t>
  </si>
  <si>
    <t>Ospringe CEP School</t>
  </si>
  <si>
    <t>Hernhill CEP School</t>
  </si>
  <si>
    <t>Newington CEP School</t>
  </si>
  <si>
    <t>Teynham Parochial CEP School</t>
  </si>
  <si>
    <t>Barham CEP School</t>
  </si>
  <si>
    <t>Bridge and Patrixbourne CEP School</t>
  </si>
  <si>
    <t>Chislet CEP School</t>
  </si>
  <si>
    <t>Littlebourne CEP School</t>
  </si>
  <si>
    <t>St Alphege CEI School</t>
  </si>
  <si>
    <t>Wickhambreaux CEP School</t>
  </si>
  <si>
    <t>Brabourne CEP School</t>
  </si>
  <si>
    <t>Brookland CEP School</t>
  </si>
  <si>
    <t>St Mary's CEP School, Chilham</t>
  </si>
  <si>
    <t>High Halden CEP School</t>
  </si>
  <si>
    <t>Woodchurch CEP School</t>
  </si>
  <si>
    <t>Bodsham CEP School</t>
  </si>
  <si>
    <t>St Martin's CEP School, Folkestone</t>
  </si>
  <si>
    <t>St Peter's CEP School - Shepway</t>
  </si>
  <si>
    <t>Seabrook CEP School</t>
  </si>
  <si>
    <t>Lyminge CEP School</t>
  </si>
  <si>
    <t>Lympne CEP School</t>
  </si>
  <si>
    <t>Stelling Minnis CEP School</t>
  </si>
  <si>
    <t>Stowting CEP School</t>
  </si>
  <si>
    <t>Selsted CEP School</t>
  </si>
  <si>
    <t>Eastry CEP School</t>
  </si>
  <si>
    <t>Goodnestone CEP School</t>
  </si>
  <si>
    <t>Guston CEP School</t>
  </si>
  <si>
    <t>Nonington CEP School</t>
  </si>
  <si>
    <t>Sibertswold CEP School at Shepherdswell</t>
  </si>
  <si>
    <t>Birchington CEP School</t>
  </si>
  <si>
    <t>Holy Trinity &amp; St Johns C of E Primary School</t>
  </si>
  <si>
    <t>St Saviour's CEJ School, Westgate-on-Sea</t>
  </si>
  <si>
    <t>Minster CEP School</t>
  </si>
  <si>
    <t>Monkton CEP School</t>
  </si>
  <si>
    <t>St Nicholas At Wade CEP School</t>
  </si>
  <si>
    <t>Frittenden CEP School</t>
  </si>
  <si>
    <t>Egerton CEP School</t>
  </si>
  <si>
    <t>St Lawrence CEP School</t>
  </si>
  <si>
    <t>Boughton-under-Blean and Dunkirk Primary School</t>
  </si>
  <si>
    <t>St Peter's Methodist Primary School, Canterbury</t>
  </si>
  <si>
    <t>St Matthew's High Brooms CEP School</t>
  </si>
  <si>
    <t>Herne CE Infant &amp; Nursery School</t>
  </si>
  <si>
    <t>Langafel CEP School</t>
  </si>
  <si>
    <t>Southborough CEP School</t>
  </si>
  <si>
    <t>West Kingsdown C.E. (V.C.) Primary School</t>
  </si>
  <si>
    <t>John Wesley Primary School</t>
  </si>
  <si>
    <t>St Katharine's Knockholt CEP School</t>
  </si>
  <si>
    <t>Chevening (St Botolph's) CEP School</t>
  </si>
  <si>
    <t>Colliers Green CEP School</t>
  </si>
  <si>
    <t>Sissinghurst CEP School</t>
  </si>
  <si>
    <t>Hever CEP School</t>
  </si>
  <si>
    <t>Penshurst CEP School</t>
  </si>
  <si>
    <t>Lady Boswell's CE (Aided) Primary School</t>
  </si>
  <si>
    <t>Ide Hill CEP School</t>
  </si>
  <si>
    <t>St Barnabas CEP School</t>
  </si>
  <si>
    <t>Hunton CEP School</t>
  </si>
  <si>
    <t>Platt CEP School</t>
  </si>
  <si>
    <t>Bapchild and Tonge CEP School</t>
  </si>
  <si>
    <t>Hartlip Endowed CEP School</t>
  </si>
  <si>
    <t>Tunstall CE (Aided) School</t>
  </si>
  <si>
    <t>Herne CEJ School</t>
  </si>
  <si>
    <t>Whitstable &amp; Seasalter Endowed CEJ School</t>
  </si>
  <si>
    <t>St Mary's CEP School, Ashford</t>
  </si>
  <si>
    <t>Wittersham CEP School</t>
  </si>
  <si>
    <t>Elham CEP School</t>
  </si>
  <si>
    <t>Saltwood CEP School</t>
  </si>
  <si>
    <t>Cartwright &amp; Kelsey CEP School</t>
  </si>
  <si>
    <t>St Mary's CEP School, Dover</t>
  </si>
  <si>
    <t>St Peter-in-Thanet CEJ School</t>
  </si>
  <si>
    <t>Ramsgate, Holy Trinity Church of England Primary</t>
  </si>
  <si>
    <t>St Mary's CEP School</t>
  </si>
  <si>
    <t>St Anselm's Catholic Primary School, Dartford</t>
  </si>
  <si>
    <t>Downsview Primary</t>
  </si>
  <si>
    <t>Greenfields Community Primary School</t>
  </si>
  <si>
    <t>Hythe Bay C of E Primary School</t>
  </si>
  <si>
    <t>Castle Hill Community Primary School</t>
  </si>
  <si>
    <t>Palace Wood Primary School</t>
  </si>
  <si>
    <t>Ashford Oaks Community Primary School</t>
  </si>
  <si>
    <t>Garlinge Primary School &amp; Nursery</t>
  </si>
  <si>
    <t>Goatlees Primary School</t>
  </si>
  <si>
    <t>Dartford Science &amp; Technology College</t>
  </si>
  <si>
    <t>Northfleet School for Girls</t>
  </si>
  <si>
    <t>Maidstone Grammar School</t>
  </si>
  <si>
    <t>Judd School, The</t>
  </si>
  <si>
    <t>Snodland CEP School</t>
  </si>
  <si>
    <t>Holy Trinity CEP School, Dartford</t>
  </si>
  <si>
    <t>St Bartholomew's Catholic Primary School</t>
  </si>
  <si>
    <t>Brookfield Junior School, Larkfield</t>
  </si>
  <si>
    <t>Malling School, The</t>
  </si>
  <si>
    <t>Archbishop's School, The</t>
  </si>
  <si>
    <t>St George's CE Foundation School</t>
  </si>
  <si>
    <t>St John's RC Comprehensive School</t>
  </si>
  <si>
    <t>Ifield School, The</t>
  </si>
  <si>
    <t>Foreland School, The</t>
  </si>
  <si>
    <t>Goldwyn Community Special School</t>
  </si>
  <si>
    <t>Grange Park School</t>
  </si>
  <si>
    <t>Orchard School, The</t>
  </si>
  <si>
    <t>Wyvern School, The</t>
  </si>
  <si>
    <t>Meadowfield School</t>
  </si>
  <si>
    <t>Laleham Gap School (Primary Site)</t>
  </si>
  <si>
    <t>Evidence should be retained in the school</t>
  </si>
  <si>
    <t>DfE</t>
  </si>
  <si>
    <t>school name</t>
  </si>
  <si>
    <t>Maidstone and Malling Alternative Provision</t>
  </si>
  <si>
    <t>Phase</t>
  </si>
  <si>
    <t>I02-01</t>
  </si>
  <si>
    <t>I03-01</t>
  </si>
  <si>
    <t>I05-01</t>
  </si>
  <si>
    <t>Total</t>
  </si>
  <si>
    <t>B</t>
  </si>
  <si>
    <t>C</t>
  </si>
  <si>
    <t>D</t>
  </si>
  <si>
    <t>E</t>
  </si>
  <si>
    <t>H</t>
  </si>
  <si>
    <t>G</t>
  </si>
  <si>
    <t>F</t>
  </si>
  <si>
    <t>I</t>
  </si>
  <si>
    <t>J</t>
  </si>
  <si>
    <t>K</t>
  </si>
  <si>
    <t>L</t>
  </si>
  <si>
    <t>M</t>
  </si>
  <si>
    <t xml:space="preserve">9 Months </t>
  </si>
  <si>
    <t>YE Forecast</t>
  </si>
  <si>
    <t>Year End</t>
  </si>
  <si>
    <t>Actual</t>
  </si>
  <si>
    <t>Tolerance</t>
  </si>
  <si>
    <t>Variance</t>
  </si>
  <si>
    <t>% var</t>
  </si>
  <si>
    <t>Analysis of Year End Revenue Balances</t>
  </si>
  <si>
    <t>Amount £ / pp</t>
  </si>
  <si>
    <t>Date to be spent by</t>
  </si>
  <si>
    <t>Amount £/pp</t>
  </si>
  <si>
    <t>Whitfield Aspen School</t>
  </si>
  <si>
    <t>Nexus School</t>
  </si>
  <si>
    <t xml:space="preserve">Woodlands Primary School </t>
  </si>
  <si>
    <t>Elms School</t>
  </si>
  <si>
    <t>A</t>
  </si>
  <si>
    <t>Community Focussed School Balance c/f figure - if applicable 
(from Section 3 of the Additional supporting information Closedown form)</t>
  </si>
  <si>
    <t>Difference between nine months forecast and actual Year End figures</t>
  </si>
  <si>
    <t>Test School</t>
  </si>
  <si>
    <t>N</t>
  </si>
  <si>
    <t>St James CE Primary School</t>
  </si>
  <si>
    <t>Total of rows J to M - must match row A above</t>
  </si>
  <si>
    <t>DD</t>
  </si>
  <si>
    <t>Total Revenue Funds rollover c/f from Row A above</t>
  </si>
  <si>
    <r>
      <t>Total Revenue Funds rollover c/f (Final Reconciliation Report, Actual Column, Current position)
For surplus balance enter as a negative (leading minus) /</t>
    </r>
    <r>
      <rPr>
        <b/>
        <sz val="16"/>
        <rFont val="Arial"/>
        <family val="2"/>
      </rPr>
      <t xml:space="preserve"> For year end deficit enter as a positive              </t>
    </r>
    <r>
      <rPr>
        <b/>
        <sz val="14"/>
        <rFont val="Arial"/>
        <family val="2"/>
      </rPr>
      <t xml:space="preserve">                                                                             </t>
    </r>
  </si>
  <si>
    <t>Total of breakdown of amount over BCM from above (Rows F to I above) (pre-populated)</t>
  </si>
  <si>
    <t>Section 1 - Total Revenue Rollover and comparison to Nine Month Forecast</t>
  </si>
  <si>
    <t>Section 2 - Budget Control Mechanism - Detailed breakdown of Revenue Rollover</t>
  </si>
  <si>
    <r>
      <t xml:space="preserve">Late allocations
</t>
    </r>
    <r>
      <rPr>
        <b/>
        <sz val="14"/>
        <rFont val="Arial"/>
        <family val="2"/>
      </rPr>
      <t>Provide detail below in section 4</t>
    </r>
    <r>
      <rPr>
        <sz val="14"/>
        <rFont val="Arial"/>
        <family val="2"/>
      </rPr>
      <t>.</t>
    </r>
    <r>
      <rPr>
        <b/>
        <sz val="14"/>
        <rFont val="Arial"/>
        <family val="2"/>
      </rPr>
      <t>3</t>
    </r>
  </si>
  <si>
    <r>
      <t xml:space="preserve">Other grant income and funding sources
</t>
    </r>
    <r>
      <rPr>
        <b/>
        <sz val="14"/>
        <rFont val="Arial"/>
        <family val="2"/>
      </rPr>
      <t>Provide detail below in section 4</t>
    </r>
    <r>
      <rPr>
        <sz val="14"/>
        <rFont val="Arial"/>
        <family val="2"/>
      </rPr>
      <t>.</t>
    </r>
    <r>
      <rPr>
        <b/>
        <sz val="14"/>
        <rFont val="Arial"/>
        <family val="2"/>
      </rPr>
      <t>4</t>
    </r>
  </si>
  <si>
    <t>Section 4.3                              Analysis of row H - brief description of Late allocations</t>
  </si>
  <si>
    <t>Section 4.4                             Analysis of row I - brief description of other grant income and funding sources</t>
  </si>
  <si>
    <r>
      <t xml:space="preserve">Funding held on behalf of other schools
</t>
    </r>
    <r>
      <rPr>
        <b/>
        <sz val="14"/>
        <rFont val="Arial"/>
        <family val="2"/>
      </rPr>
      <t>Provide detail below in section 4</t>
    </r>
    <r>
      <rPr>
        <sz val="14"/>
        <rFont val="Arial"/>
        <family val="2"/>
      </rPr>
      <t>.</t>
    </r>
    <r>
      <rPr>
        <b/>
        <sz val="14"/>
        <rFont val="Arial"/>
        <family val="2"/>
      </rPr>
      <t>2</t>
    </r>
  </si>
  <si>
    <t>Section 4.2                              Analysis of row G - Funding held on behalf of other schools</t>
  </si>
  <si>
    <t>Section 4.1                              Analysis of row F - brief description of Revenue contribution to Capital project (planned for NEW year)</t>
  </si>
  <si>
    <t>Allowable Balance Control Mechanism (BCM) from Row D above</t>
  </si>
  <si>
    <t>This amount over your BCM may be subject to Clawback.</t>
  </si>
  <si>
    <t>The Rosewood School</t>
  </si>
  <si>
    <t>Section 3 - Total Revenue Rollover breakdown - The DfE require this breakdown</t>
  </si>
  <si>
    <t>Instructions for completion.</t>
  </si>
  <si>
    <r>
      <t xml:space="preserve">Enter the last four digits of you DfE number in cell </t>
    </r>
    <r>
      <rPr>
        <b/>
        <sz val="12"/>
        <rFont val="Arial"/>
        <family val="2"/>
      </rPr>
      <t>E1</t>
    </r>
    <r>
      <rPr>
        <sz val="12"/>
        <rFont val="Arial"/>
        <family val="2"/>
      </rPr>
      <t xml:space="preserve"> (the green box), your school name will be displayed.</t>
    </r>
  </si>
  <si>
    <t>Section 1</t>
  </si>
  <si>
    <t>Section 2</t>
  </si>
  <si>
    <t>Section 2.1 and Section 4 - Only applicable if you exceed your BCM limit</t>
  </si>
  <si>
    <r>
      <t xml:space="preserve">A prompt box will appear to the right. An </t>
    </r>
    <r>
      <rPr>
        <b/>
        <sz val="12"/>
        <rFont val="Arial"/>
        <family val="2"/>
      </rPr>
      <t>amber</t>
    </r>
    <r>
      <rPr>
        <sz val="12"/>
        <rFont val="Arial"/>
        <family val="2"/>
      </rPr>
      <t xml:space="preserve"> box indicates you have not allocated enough across </t>
    </r>
    <r>
      <rPr>
        <b/>
        <sz val="12"/>
        <rFont val="Arial"/>
        <family val="2"/>
      </rPr>
      <t>F</t>
    </r>
    <r>
      <rPr>
        <sz val="12"/>
        <rFont val="Arial"/>
        <family val="2"/>
      </rPr>
      <t xml:space="preserve"> to </t>
    </r>
    <r>
      <rPr>
        <b/>
        <sz val="12"/>
        <rFont val="Arial"/>
        <family val="2"/>
      </rPr>
      <t>I</t>
    </r>
    <r>
      <rPr>
        <sz val="12"/>
        <rFont val="Arial"/>
        <family val="2"/>
      </rPr>
      <t xml:space="preserve">, a </t>
    </r>
    <r>
      <rPr>
        <b/>
        <sz val="12"/>
        <rFont val="Arial"/>
        <family val="2"/>
      </rPr>
      <t>red</t>
    </r>
    <r>
      <rPr>
        <sz val="12"/>
        <rFont val="Arial"/>
        <family val="2"/>
      </rPr>
      <t xml:space="preserve"> box indicates you have allocated too much.</t>
    </r>
  </si>
  <si>
    <r>
      <t xml:space="preserve">When </t>
    </r>
    <r>
      <rPr>
        <b/>
        <sz val="12"/>
        <rFont val="Arial"/>
        <family val="2"/>
      </rPr>
      <t>F</t>
    </r>
    <r>
      <rPr>
        <sz val="12"/>
        <rFont val="Arial"/>
        <family val="2"/>
      </rPr>
      <t xml:space="preserve"> to </t>
    </r>
    <r>
      <rPr>
        <b/>
        <sz val="12"/>
        <rFont val="Arial"/>
        <family val="2"/>
      </rPr>
      <t>I</t>
    </r>
    <r>
      <rPr>
        <sz val="12"/>
        <rFont val="Arial"/>
        <family val="2"/>
      </rPr>
      <t xml:space="preserve"> equal the amount over BCM, there will be no </t>
    </r>
    <r>
      <rPr>
        <b/>
        <sz val="12"/>
        <rFont val="Arial"/>
        <family val="2"/>
      </rPr>
      <t>amber</t>
    </r>
    <r>
      <rPr>
        <sz val="12"/>
        <rFont val="Arial"/>
        <family val="2"/>
      </rPr>
      <t xml:space="preserve"> or</t>
    </r>
    <r>
      <rPr>
        <b/>
        <sz val="12"/>
        <rFont val="Arial"/>
        <family val="2"/>
      </rPr>
      <t xml:space="preserve"> red</t>
    </r>
    <r>
      <rPr>
        <sz val="12"/>
        <rFont val="Arial"/>
        <family val="2"/>
      </rPr>
      <t xml:space="preserve"> box and </t>
    </r>
    <r>
      <rPr>
        <b/>
        <sz val="12"/>
        <rFont val="Arial"/>
        <family val="2"/>
      </rPr>
      <t xml:space="preserve">J </t>
    </r>
    <r>
      <rPr>
        <sz val="12"/>
        <rFont val="Arial"/>
        <family val="2"/>
      </rPr>
      <t>(cell E22) will be zero. This section is now balanced.</t>
    </r>
  </si>
  <si>
    <r>
      <t>Whichever rows you have used from (</t>
    </r>
    <r>
      <rPr>
        <b/>
        <sz val="12"/>
        <rFont val="Arial"/>
        <family val="2"/>
      </rPr>
      <t>F</t>
    </r>
    <r>
      <rPr>
        <sz val="12"/>
        <rFont val="Arial"/>
        <family val="2"/>
      </rPr>
      <t xml:space="preserve"> to </t>
    </r>
    <r>
      <rPr>
        <b/>
        <sz val="12"/>
        <rFont val="Arial"/>
        <family val="2"/>
      </rPr>
      <t>I</t>
    </r>
    <r>
      <rPr>
        <sz val="12"/>
        <rFont val="Arial"/>
        <family val="2"/>
      </rPr>
      <t xml:space="preserve">), a prompt will appear to the right indicating which sections of </t>
    </r>
    <r>
      <rPr>
        <b/>
        <sz val="12"/>
        <rFont val="Arial"/>
        <family val="2"/>
      </rPr>
      <t xml:space="preserve">Section 4 </t>
    </r>
    <r>
      <rPr>
        <sz val="12"/>
        <rFont val="Arial"/>
        <family val="2"/>
      </rPr>
      <t>below need to be completed.</t>
    </r>
  </si>
  <si>
    <r>
      <t xml:space="preserve">Once the figures entered into </t>
    </r>
    <r>
      <rPr>
        <b/>
        <sz val="12"/>
        <rFont val="Arial"/>
        <family val="2"/>
      </rPr>
      <t>Sections 4.1</t>
    </r>
    <r>
      <rPr>
        <sz val="12"/>
        <rFont val="Arial"/>
        <family val="2"/>
      </rPr>
      <t xml:space="preserve"> to </t>
    </r>
    <r>
      <rPr>
        <b/>
        <sz val="12"/>
        <rFont val="Arial"/>
        <family val="2"/>
      </rPr>
      <t>4.4</t>
    </r>
    <r>
      <rPr>
        <sz val="12"/>
        <rFont val="Arial"/>
        <family val="2"/>
      </rPr>
      <t xml:space="preserve"> equal the corresponding figures in </t>
    </r>
    <r>
      <rPr>
        <b/>
        <sz val="12"/>
        <rFont val="Arial"/>
        <family val="2"/>
      </rPr>
      <t>F</t>
    </r>
    <r>
      <rPr>
        <sz val="12"/>
        <rFont val="Arial"/>
        <family val="2"/>
      </rPr>
      <t xml:space="preserve"> to</t>
    </r>
    <r>
      <rPr>
        <b/>
        <sz val="12"/>
        <rFont val="Arial"/>
        <family val="2"/>
      </rPr>
      <t xml:space="preserve"> I</t>
    </r>
    <r>
      <rPr>
        <sz val="12"/>
        <rFont val="Arial"/>
        <family val="2"/>
      </rPr>
      <t>, the prompts will disappear.</t>
    </r>
  </si>
  <si>
    <t>Section 3</t>
  </si>
  <si>
    <t>The B01 to B06 references are for DfE purposes only</t>
  </si>
  <si>
    <t>Guidance for the completion of the Analysis of Revenue Balances form.</t>
  </si>
  <si>
    <t>(This will always be the same as B until you complete A (cell E5))</t>
  </si>
  <si>
    <t>%</t>
  </si>
  <si>
    <t>The BCM is worked out by adding together your March SoA totals for CFR codes I01, I02, I03, I05 and I18.</t>
  </si>
  <si>
    <r>
      <t xml:space="preserve">In </t>
    </r>
    <r>
      <rPr>
        <b/>
        <sz val="12"/>
        <rFont val="Arial"/>
        <family val="2"/>
      </rPr>
      <t>D</t>
    </r>
    <r>
      <rPr>
        <sz val="12"/>
        <rFont val="Arial"/>
        <family val="2"/>
      </rPr>
      <t xml:space="preserve"> (cell E13) your </t>
    </r>
    <r>
      <rPr>
        <b/>
        <sz val="12"/>
        <rFont val="Arial"/>
        <family val="2"/>
      </rPr>
      <t>Budget Control Mechanism</t>
    </r>
    <r>
      <rPr>
        <sz val="12"/>
        <rFont val="Arial"/>
        <family val="2"/>
      </rPr>
      <t xml:space="preserve"> (</t>
    </r>
    <r>
      <rPr>
        <b/>
        <sz val="12"/>
        <rFont val="Arial"/>
        <family val="2"/>
      </rPr>
      <t>BCM</t>
    </r>
    <r>
      <rPr>
        <sz val="12"/>
        <rFont val="Arial"/>
        <family val="2"/>
      </rPr>
      <t xml:space="preserve">) limit based on your </t>
    </r>
    <r>
      <rPr>
        <b/>
        <sz val="12"/>
        <rFont val="Arial"/>
        <family val="2"/>
      </rPr>
      <t>March Statement of Account</t>
    </r>
    <r>
      <rPr>
        <sz val="12"/>
        <rFont val="Arial"/>
        <family val="2"/>
      </rPr>
      <t xml:space="preserve"> (</t>
    </r>
    <r>
      <rPr>
        <b/>
        <sz val="12"/>
        <rFont val="Arial"/>
        <family val="2"/>
      </rPr>
      <t>SoA</t>
    </r>
    <r>
      <rPr>
        <sz val="12"/>
        <rFont val="Arial"/>
        <family val="2"/>
      </rPr>
      <t>) is displayed.</t>
    </r>
  </si>
  <si>
    <r>
      <t xml:space="preserve">From your </t>
    </r>
    <r>
      <rPr>
        <b/>
        <sz val="12"/>
        <rFont val="Arial"/>
        <family val="2"/>
      </rPr>
      <t>Closedown FMS Reconciliation Report</t>
    </r>
    <r>
      <rPr>
        <sz val="12"/>
        <rFont val="Arial"/>
        <family val="2"/>
      </rPr>
      <t xml:space="preserve">, enter the </t>
    </r>
    <r>
      <rPr>
        <b/>
        <sz val="12"/>
        <rFont val="Arial"/>
        <family val="2"/>
      </rPr>
      <t>Actual Revenue Current Position</t>
    </r>
    <r>
      <rPr>
        <sz val="12"/>
        <rFont val="Arial"/>
        <family val="2"/>
      </rPr>
      <t xml:space="preserve"> figure into </t>
    </r>
    <r>
      <rPr>
        <b/>
        <sz val="12"/>
        <rFont val="Arial"/>
        <family val="2"/>
      </rPr>
      <t>A</t>
    </r>
    <r>
      <rPr>
        <sz val="12"/>
        <rFont val="Arial"/>
        <family val="2"/>
      </rPr>
      <t xml:space="preserve"> (cell E5)</t>
    </r>
  </si>
  <si>
    <r>
      <t xml:space="preserve">This will normally be </t>
    </r>
    <r>
      <rPr>
        <b/>
        <sz val="12"/>
        <rFont val="Arial"/>
        <family val="2"/>
      </rPr>
      <t>Fund 01</t>
    </r>
    <r>
      <rPr>
        <sz val="12"/>
        <rFont val="Arial"/>
        <family val="2"/>
      </rPr>
      <t>, but if you have multiple funds, you will need to add these together.</t>
    </r>
    <r>
      <rPr>
        <b/>
        <sz val="12"/>
        <rFont val="Arial"/>
        <family val="2"/>
      </rPr>
      <t xml:space="preserve"> Remember Revenue Only</t>
    </r>
    <r>
      <rPr>
        <sz val="12"/>
        <rFont val="Arial"/>
        <family val="2"/>
      </rPr>
      <t>.</t>
    </r>
  </si>
  <si>
    <r>
      <t xml:space="preserve">If you enter the figure in </t>
    </r>
    <r>
      <rPr>
        <b/>
        <sz val="12"/>
        <rFont val="Arial"/>
        <family val="2"/>
      </rPr>
      <t>A</t>
    </r>
    <r>
      <rPr>
        <sz val="12"/>
        <rFont val="Arial"/>
        <family val="2"/>
      </rPr>
      <t xml:space="preserve"> (cell E5) with a leading minus, the box will turn red. At this stage this is expected, it means the form is not complete.</t>
    </r>
  </si>
  <si>
    <r>
      <t xml:space="preserve">If </t>
    </r>
    <r>
      <rPr>
        <b/>
        <sz val="12"/>
        <rFont val="Arial"/>
        <family val="2"/>
      </rPr>
      <t>Row 8</t>
    </r>
    <r>
      <rPr>
        <sz val="12"/>
        <rFont val="Arial"/>
        <family val="2"/>
      </rPr>
      <t xml:space="preserve"> turns green and </t>
    </r>
    <r>
      <rPr>
        <b/>
        <sz val="12"/>
        <rFont val="Arial"/>
        <family val="2"/>
      </rPr>
      <t xml:space="preserve">Row 9 </t>
    </r>
    <r>
      <rPr>
        <sz val="12"/>
        <rFont val="Arial"/>
        <family val="2"/>
      </rPr>
      <t xml:space="preserve">turns black, the difference between your </t>
    </r>
    <r>
      <rPr>
        <b/>
        <sz val="12"/>
        <rFont val="Arial"/>
        <family val="2"/>
      </rPr>
      <t>Nine Months Monitoring</t>
    </r>
    <r>
      <rPr>
        <sz val="12"/>
        <rFont val="Arial"/>
        <family val="2"/>
      </rPr>
      <t xml:space="preserve"> forecast and your </t>
    </r>
    <r>
      <rPr>
        <b/>
        <sz val="12"/>
        <rFont val="Arial"/>
        <family val="2"/>
      </rPr>
      <t>Closedown</t>
    </r>
    <r>
      <rPr>
        <sz val="12"/>
        <rFont val="Arial"/>
        <family val="2"/>
      </rPr>
      <t xml:space="preserve"> position is within limits.</t>
    </r>
  </si>
  <si>
    <r>
      <t xml:space="preserve">If they remain yellow and clear, you need to add a brief comment to explain the difference in </t>
    </r>
    <r>
      <rPr>
        <b/>
        <sz val="12"/>
        <rFont val="Arial"/>
        <family val="2"/>
      </rPr>
      <t>Row 9</t>
    </r>
    <r>
      <rPr>
        <sz val="12"/>
        <rFont val="Arial"/>
        <family val="2"/>
      </rPr>
      <t>.</t>
    </r>
  </si>
  <si>
    <t>There is no input required in this section as all cells are pre-populated.</t>
  </si>
  <si>
    <r>
      <rPr>
        <b/>
        <sz val="12"/>
        <rFont val="Arial"/>
        <family val="2"/>
      </rPr>
      <t>J</t>
    </r>
    <r>
      <rPr>
        <sz val="12"/>
        <rFont val="Arial"/>
        <family val="2"/>
      </rPr>
      <t xml:space="preserve"> (cell E20) displays the balance of the amount over the BCM limit that has not been allocated across </t>
    </r>
    <r>
      <rPr>
        <b/>
        <sz val="12"/>
        <rFont val="Arial"/>
        <family val="2"/>
      </rPr>
      <t>F</t>
    </r>
    <r>
      <rPr>
        <sz val="12"/>
        <rFont val="Arial"/>
        <family val="2"/>
      </rPr>
      <t xml:space="preserve"> to </t>
    </r>
    <r>
      <rPr>
        <b/>
        <sz val="12"/>
        <rFont val="Arial"/>
        <family val="2"/>
      </rPr>
      <t>I.</t>
    </r>
  </si>
  <si>
    <r>
      <rPr>
        <b/>
        <sz val="12"/>
        <rFont val="Arial"/>
        <family val="2"/>
      </rPr>
      <t>D</t>
    </r>
    <r>
      <rPr>
        <sz val="12"/>
        <rFont val="Arial"/>
        <family val="2"/>
      </rPr>
      <t xml:space="preserve"> (cell E21) and </t>
    </r>
    <r>
      <rPr>
        <b/>
        <sz val="12"/>
        <rFont val="Arial"/>
        <family val="2"/>
      </rPr>
      <t xml:space="preserve">A </t>
    </r>
    <r>
      <rPr>
        <sz val="12"/>
        <rFont val="Arial"/>
        <family val="2"/>
      </rPr>
      <t xml:space="preserve">(cell E22) are populated from </t>
    </r>
    <r>
      <rPr>
        <b/>
        <sz val="12"/>
        <rFont val="Arial"/>
        <family val="2"/>
      </rPr>
      <t>Section 1</t>
    </r>
    <r>
      <rPr>
        <sz val="12"/>
        <rFont val="Arial"/>
        <family val="2"/>
      </rPr>
      <t xml:space="preserve"> &amp; </t>
    </r>
    <r>
      <rPr>
        <b/>
        <sz val="12"/>
        <rFont val="Arial"/>
        <family val="2"/>
      </rPr>
      <t>2</t>
    </r>
    <r>
      <rPr>
        <sz val="12"/>
        <rFont val="Arial"/>
        <family val="2"/>
      </rPr>
      <t xml:space="preserve"> above.</t>
    </r>
  </si>
  <si>
    <r>
      <rPr>
        <b/>
        <sz val="12"/>
        <rFont val="Arial"/>
        <family val="2"/>
      </rPr>
      <t>J</t>
    </r>
    <r>
      <rPr>
        <sz val="12"/>
        <rFont val="Arial"/>
        <family val="2"/>
      </rPr>
      <t xml:space="preserve"> (cell E24) is populated from </t>
    </r>
    <r>
      <rPr>
        <b/>
        <sz val="12"/>
        <rFont val="Arial"/>
        <family val="2"/>
      </rPr>
      <t xml:space="preserve">section 2.1, </t>
    </r>
    <r>
      <rPr>
        <sz val="12"/>
        <rFont val="Arial"/>
        <family val="2"/>
      </rPr>
      <t>if you have not exceeded your BCM limit, this cell will be zero.</t>
    </r>
  </si>
  <si>
    <r>
      <rPr>
        <b/>
        <sz val="12"/>
        <rFont val="Arial"/>
        <family val="2"/>
      </rPr>
      <t>K</t>
    </r>
    <r>
      <rPr>
        <sz val="12"/>
        <rFont val="Arial"/>
        <family val="2"/>
      </rPr>
      <t xml:space="preserve"> (cell E25) is for your </t>
    </r>
    <r>
      <rPr>
        <b/>
        <sz val="12"/>
        <rFont val="Arial"/>
        <family val="2"/>
      </rPr>
      <t>Community Focussed</t>
    </r>
    <r>
      <rPr>
        <sz val="12"/>
        <rFont val="Arial"/>
        <family val="2"/>
      </rPr>
      <t xml:space="preserve"> balance only. This figure is taken from the </t>
    </r>
    <r>
      <rPr>
        <b/>
        <sz val="12"/>
        <rFont val="Arial"/>
        <family val="2"/>
      </rPr>
      <t>Additional Funding</t>
    </r>
    <r>
      <rPr>
        <sz val="12"/>
        <rFont val="Arial"/>
        <family val="2"/>
      </rPr>
      <t xml:space="preserve"> form, </t>
    </r>
    <r>
      <rPr>
        <b/>
        <sz val="12"/>
        <rFont val="Arial"/>
        <family val="2"/>
      </rPr>
      <t xml:space="preserve">B06 (c/f) </t>
    </r>
    <r>
      <rPr>
        <sz val="12"/>
        <rFont val="Arial"/>
        <family val="2"/>
      </rPr>
      <t>(cell G27)</t>
    </r>
  </si>
  <si>
    <r>
      <t>Alternatively this can be calculated by the following formula (</t>
    </r>
    <r>
      <rPr>
        <b/>
        <sz val="12"/>
        <rFont val="Arial"/>
        <family val="2"/>
      </rPr>
      <t xml:space="preserve">Previous years B06 rollover + I16 + I17 - E31 - E32 </t>
    </r>
    <r>
      <rPr>
        <sz val="12"/>
        <rFont val="Arial"/>
        <family val="2"/>
      </rPr>
      <t xml:space="preserve">from you </t>
    </r>
    <r>
      <rPr>
        <b/>
        <sz val="12"/>
        <rFont val="Arial"/>
        <family val="2"/>
      </rPr>
      <t>Closedown I &amp; E</t>
    </r>
    <r>
      <rPr>
        <sz val="12"/>
        <rFont val="Arial"/>
        <family val="2"/>
      </rPr>
      <t>)</t>
    </r>
  </si>
  <si>
    <r>
      <t xml:space="preserve">The remaining revenue rollover from </t>
    </r>
    <r>
      <rPr>
        <b/>
        <sz val="12"/>
        <rFont val="Arial"/>
        <family val="2"/>
      </rPr>
      <t>A</t>
    </r>
    <r>
      <rPr>
        <sz val="12"/>
        <rFont val="Arial"/>
        <family val="2"/>
      </rPr>
      <t xml:space="preserve"> (cell E22) now needs to be split between Committed </t>
    </r>
    <r>
      <rPr>
        <b/>
        <sz val="12"/>
        <rFont val="Arial"/>
        <family val="2"/>
      </rPr>
      <t>L</t>
    </r>
    <r>
      <rPr>
        <sz val="12"/>
        <rFont val="Arial"/>
        <family val="2"/>
      </rPr>
      <t xml:space="preserve"> (Cell E28) and Non Committed </t>
    </r>
    <r>
      <rPr>
        <b/>
        <sz val="12"/>
        <rFont val="Arial"/>
        <family val="2"/>
      </rPr>
      <t>M</t>
    </r>
    <r>
      <rPr>
        <sz val="12"/>
        <rFont val="Arial"/>
        <family val="2"/>
      </rPr>
      <t xml:space="preserve"> (cell E29)</t>
    </r>
  </si>
  <si>
    <r>
      <rPr>
        <b/>
        <sz val="12"/>
        <rFont val="Arial"/>
        <family val="2"/>
      </rPr>
      <t>N</t>
    </r>
    <r>
      <rPr>
        <sz val="12"/>
        <rFont val="Arial"/>
        <family val="2"/>
      </rPr>
      <t xml:space="preserve"> (cell E28) is the total of </t>
    </r>
    <r>
      <rPr>
        <b/>
        <sz val="12"/>
        <rFont val="Arial"/>
        <family val="2"/>
      </rPr>
      <t>J</t>
    </r>
    <r>
      <rPr>
        <sz val="12"/>
        <rFont val="Arial"/>
        <family val="2"/>
      </rPr>
      <t xml:space="preserve"> to </t>
    </r>
    <r>
      <rPr>
        <b/>
        <sz val="12"/>
        <rFont val="Arial"/>
        <family val="2"/>
      </rPr>
      <t>M, this must equal A</t>
    </r>
    <r>
      <rPr>
        <sz val="12"/>
        <rFont val="Arial"/>
        <family val="2"/>
      </rPr>
      <t xml:space="preserve"> (cell E22). A prompt will appear to the right of </t>
    </r>
    <r>
      <rPr>
        <b/>
        <sz val="12"/>
        <rFont val="Arial"/>
        <family val="2"/>
      </rPr>
      <t>N</t>
    </r>
    <r>
      <rPr>
        <sz val="12"/>
        <rFont val="Arial"/>
        <family val="2"/>
      </rPr>
      <t xml:space="preserve"> indicating if you need to allocate more or less to equal </t>
    </r>
    <r>
      <rPr>
        <b/>
        <sz val="12"/>
        <rFont val="Arial"/>
        <family val="2"/>
      </rPr>
      <t>A</t>
    </r>
    <r>
      <rPr>
        <sz val="12"/>
        <rFont val="Arial"/>
        <family val="2"/>
      </rPr>
      <t>.</t>
    </r>
  </si>
  <si>
    <r>
      <t xml:space="preserve">When there are no prompts visible and "CORRECT" appears to the right of </t>
    </r>
    <r>
      <rPr>
        <b/>
        <sz val="12"/>
        <rFont val="Arial"/>
        <family val="2"/>
      </rPr>
      <t>N</t>
    </r>
    <r>
      <rPr>
        <sz val="12"/>
        <rFont val="Arial"/>
        <family val="2"/>
      </rPr>
      <t>, the form is complete.</t>
    </r>
  </si>
  <si>
    <r>
      <t xml:space="preserve">In </t>
    </r>
    <r>
      <rPr>
        <b/>
        <sz val="12"/>
        <rFont val="Arial"/>
        <family val="2"/>
      </rPr>
      <t>B</t>
    </r>
    <r>
      <rPr>
        <sz val="12"/>
        <rFont val="Arial"/>
        <family val="2"/>
      </rPr>
      <t xml:space="preserve"> (cell E6) the year end forecast you submitted as part of the </t>
    </r>
    <r>
      <rPr>
        <b/>
        <sz val="12"/>
        <rFont val="Arial"/>
        <family val="2"/>
      </rPr>
      <t>Nine Months Monitoring</t>
    </r>
    <r>
      <rPr>
        <sz val="12"/>
        <rFont val="Arial"/>
        <family val="2"/>
      </rPr>
      <t xml:space="preserve"> return will pre-populate.</t>
    </r>
  </si>
  <si>
    <r>
      <t xml:space="preserve">In </t>
    </r>
    <r>
      <rPr>
        <b/>
        <sz val="12"/>
        <rFont val="Arial"/>
        <family val="2"/>
      </rPr>
      <t>C</t>
    </r>
    <r>
      <rPr>
        <sz val="12"/>
        <rFont val="Arial"/>
        <family val="2"/>
      </rPr>
      <t xml:space="preserve"> (cell E7) the difference between your </t>
    </r>
    <r>
      <rPr>
        <b/>
        <sz val="12"/>
        <rFont val="Arial"/>
        <family val="2"/>
      </rPr>
      <t>Nine Months Monitoring</t>
    </r>
    <r>
      <rPr>
        <sz val="12"/>
        <rFont val="Arial"/>
        <family val="2"/>
      </rPr>
      <t xml:space="preserve"> year end forecast and your</t>
    </r>
    <r>
      <rPr>
        <b/>
        <sz val="12"/>
        <rFont val="Arial"/>
        <family val="2"/>
      </rPr>
      <t xml:space="preserve"> Closedown</t>
    </r>
    <r>
      <rPr>
        <sz val="12"/>
        <rFont val="Arial"/>
        <family val="2"/>
      </rPr>
      <t xml:space="preserve"> year end position will be calculated.</t>
    </r>
  </si>
  <si>
    <t>This total is then multiplied by the allowable threshold your school type attracts. All of this information is held in the background of this form.</t>
  </si>
  <si>
    <r>
      <t xml:space="preserve">In </t>
    </r>
    <r>
      <rPr>
        <b/>
        <sz val="12"/>
        <rFont val="Arial"/>
        <family val="2"/>
      </rPr>
      <t>C</t>
    </r>
    <r>
      <rPr>
        <sz val="12"/>
        <rFont val="Arial"/>
        <family val="2"/>
      </rPr>
      <t xml:space="preserve"> (cell E7) the difference between your </t>
    </r>
    <r>
      <rPr>
        <b/>
        <sz val="12"/>
        <rFont val="Arial"/>
        <family val="2"/>
      </rPr>
      <t>Nine Months Monitoring</t>
    </r>
    <r>
      <rPr>
        <sz val="12"/>
        <rFont val="Arial"/>
        <family val="2"/>
      </rPr>
      <t xml:space="preserve"> year end forecast and your</t>
    </r>
    <r>
      <rPr>
        <b/>
        <sz val="12"/>
        <rFont val="Arial"/>
        <family val="2"/>
      </rPr>
      <t xml:space="preserve"> Closedown</t>
    </r>
    <r>
      <rPr>
        <sz val="12"/>
        <rFont val="Arial"/>
        <family val="2"/>
      </rPr>
      <t xml:space="preserve"> year end position is displayed.</t>
    </r>
  </si>
  <si>
    <t>Please read the BCM guidance that explains the 4 allowable criteria and allocate the excess funds accordingly</t>
  </si>
  <si>
    <t>Schools Financial Services Guidance</t>
  </si>
  <si>
    <t xml:space="preserve">Balance Control Mechanism (BCM) Criteria - Which category to use? </t>
  </si>
  <si>
    <t>Introduction</t>
  </si>
  <si>
    <t>The Schools’ Funding Forum fundamental principle underpinning the BCM is that the funding received for the period (financial year April to March), which is predicated on the cohort of pupils at the school during that period, should be spent on those pupils during that period.</t>
  </si>
  <si>
    <t>The allowable BCM Thresholds (12% - Primary, Special and PRU and 7.5% - Secondary) have been set to recognise the need of a financial tolerance, to enable an appropriate resource to ensure a smooth transition, when circumstances within the school change, for example a falling roll.</t>
  </si>
  <si>
    <t>BCM Allowable Criteria</t>
  </si>
  <si>
    <t xml:space="preserve">There are four accepted criteria that allow schools to carry forward funding in excess of their Balance Control Mechanism (BCM) into the next financial year: Capital Projects, Holding Funds on Behalf of Other Schools, Late Allocations and Other Grants &amp; Payments.  Outlined below are details of each of the criteria to assist schools who are over their BCM limit in completing the 9 month and Year end returns. </t>
  </si>
  <si>
    <r>
      <t>Capital Project</t>
    </r>
    <r>
      <rPr>
        <sz val="12"/>
        <rFont val="Arial"/>
        <family val="2"/>
      </rPr>
      <t xml:space="preserve">. </t>
    </r>
  </si>
  <si>
    <r>
      <t>Funds Held on Behalf of Other Schools</t>
    </r>
    <r>
      <rPr>
        <sz val="12"/>
        <rFont val="Arial"/>
        <family val="2"/>
      </rPr>
      <t xml:space="preserve">. </t>
    </r>
  </si>
  <si>
    <t>Late Allocation.</t>
  </si>
  <si>
    <t xml:space="preserve"> </t>
  </si>
  <si>
    <r>
      <t>If HNF has been applied for in November for example, and confirmation that the school will receive funding has been given by 1</t>
    </r>
    <r>
      <rPr>
        <vertAlign val="superscript"/>
        <sz val="12"/>
        <rFont val="Arial"/>
        <family val="2"/>
      </rPr>
      <t>st</t>
    </r>
    <r>
      <rPr>
        <sz val="12"/>
        <rFont val="Arial"/>
        <family val="2"/>
      </rPr>
      <t xml:space="preserve"> December, but the funding is not received into the school bank account until February/March Advance, then this will not be counted as a Late Allocation - as the advised expected income should have been included in the monitoring year end forecast.</t>
    </r>
  </si>
  <si>
    <r>
      <t>However, if the school has a newly assessed pupil with unconfirmed funding or an annual pupil renewal with unconfirmed backpay, it is reasonable to not have included any additional funding into the monitoring year-end forecasts as the funding claimed cannot be assured.  Therefore, in these types of circumstances, the funding will be allowable under Late Allocations if it is paid after December 1</t>
    </r>
    <r>
      <rPr>
        <vertAlign val="superscript"/>
        <sz val="12"/>
        <rFont val="Arial"/>
        <family val="2"/>
      </rPr>
      <t>st</t>
    </r>
    <r>
      <rPr>
        <sz val="12"/>
        <rFont val="Arial"/>
        <family val="2"/>
      </rPr>
      <t>.</t>
    </r>
  </si>
  <si>
    <r>
      <t>Other Grants and Payments.</t>
    </r>
    <r>
      <rPr>
        <sz val="12"/>
        <rFont val="Arial"/>
        <family val="2"/>
      </rPr>
      <t xml:space="preserve">  </t>
    </r>
  </si>
  <si>
    <t xml:space="preserve">In general, schools are expected to spend funding received in each financial year on the pupils attending in that period.  Please see below for details of common grants to ascertain whether they are eligible to meet the criteria for allowable excess BCM.  For some grants that are paid on an academic year, part (or in some cases all) of the funding would be allowable under the excess BCM criteria.  Schools should read the Government Conditions of Grant for each grant to ensure the funding is spent as appropriate and in a timely fashion.  </t>
  </si>
  <si>
    <t xml:space="preserve">Schools should be spending the April to August payment by the August of that year because this is the final instalment for the current academic year’s funding – this portion of the funding will not be allowable under the ‘Other Grants &amp; Payment’ criteria as a reason to be over BCM.  Note: If the 5/12ths second instalment has not been spent, then it will form part of the allowable BCM threshold. </t>
  </si>
  <si>
    <t>DDD</t>
  </si>
  <si>
    <t>DDDD</t>
  </si>
  <si>
    <t>·</t>
  </si>
  <si>
    <r>
      <t>UIFSM</t>
    </r>
    <r>
      <rPr>
        <sz val="12"/>
        <rFont val="Arial"/>
        <family val="2"/>
      </rPr>
      <t xml:space="preserve"> is paid on an academic year.  The funding is unique due to an adjustment being made each July to ensure payments made up to the preceding March are correct, with schools using a Yearend adjustment at Closedown to balance the funds received to date. Therefore, any excess UIFSM funding is not allowable under the excess BCM criteria as the funding is a reimbursement for costs based across 2 census data. </t>
    </r>
  </si>
  <si>
    <t>The returns information must include details of the capital project as well as the expected completion date</t>
  </si>
  <si>
    <t>Copy invoices will be required on completion of the project</t>
  </si>
  <si>
    <t>Examples: Extension to the school building</t>
  </si>
  <si>
    <t xml:space="preserve">Schools can be over the BCM if they are holding funds on behalf of other schools </t>
  </si>
  <si>
    <t>The returns information must include the current balance of the held funds and the date by which they need to be spent</t>
  </si>
  <si>
    <t>High Needs Funding (HNF) and whether it can be included within the Late Allocation criteria:</t>
  </si>
  <si>
    <t>A Late Allocation is funding that has been received in the latter part of the year that was not included within the original budget or included as additional income to the yearend forecast within the budget monitoring.</t>
  </si>
  <si>
    <r>
      <t>Any unexpected funding that is received prior to 1</t>
    </r>
    <r>
      <rPr>
        <vertAlign val="superscript"/>
        <sz val="12"/>
        <rFont val="Arial"/>
        <family val="2"/>
      </rPr>
      <t>st</t>
    </r>
    <r>
      <rPr>
        <sz val="12"/>
        <rFont val="Arial"/>
        <family val="2"/>
      </rPr>
      <t xml:space="preserve"> December will not be allowable as a Late Allocation.</t>
    </r>
  </si>
  <si>
    <r>
      <t>To be allowable, the Late Allocation must be unexpected new funding that the school has not had reasonable time in which to spend before the end of the financial year, and it has therefore been decided that only funding received between 1</t>
    </r>
    <r>
      <rPr>
        <vertAlign val="superscript"/>
        <sz val="12"/>
        <rFont val="Arial"/>
        <family val="2"/>
      </rPr>
      <t>st</t>
    </r>
    <r>
      <rPr>
        <sz val="12"/>
        <rFont val="Arial"/>
        <family val="2"/>
      </rPr>
      <t xml:space="preserve"> December and 31</t>
    </r>
    <r>
      <rPr>
        <vertAlign val="superscript"/>
        <sz val="12"/>
        <rFont val="Arial"/>
        <family val="2"/>
      </rPr>
      <t>st</t>
    </r>
    <r>
      <rPr>
        <sz val="12"/>
        <rFont val="Arial"/>
        <family val="2"/>
      </rPr>
      <t xml:space="preserve"> March will be considered e.g., an unexpected donation to the school.</t>
    </r>
  </si>
  <si>
    <t>Each year there may be new funding streams.  Depending on the timing of the Government announcement, a decision will be made if the funding will be considered a Late Allocation or not.  Past examples have been Additional FSM Supplementary grant &amp; Classcare Scheme Refund</t>
  </si>
  <si>
    <r>
      <rPr>
        <b/>
        <sz val="12"/>
        <rFont val="Arial"/>
        <family val="2"/>
      </rPr>
      <t xml:space="preserve">Academic Grants e.g., PE and Sports Grant.  </t>
    </r>
    <r>
      <rPr>
        <sz val="12"/>
        <rFont val="Arial"/>
        <family val="2"/>
      </rPr>
      <t>When grants are paid on an academic year (September - August), the school usually receives 2 instalments – one to cover the 7-month period September to March and a second to cover the 5-month period April to August, so crossing over the school financial year in April. This means that the April to August (5/12ths) payment is the second instalment of the previous academic year, and the September to March payment (7/12ths) is the first instalment of the current academic year.</t>
    </r>
  </si>
  <si>
    <t>For the September to March payment (7/12th), schools have until the August of the following year to spend it.  This portion of the funding can be rolled forward into the next financial year and is allowable under the criteria for excess BCM.</t>
  </si>
  <si>
    <r>
      <rPr>
        <b/>
        <sz val="12"/>
        <rFont val="Arial"/>
        <family val="2"/>
      </rPr>
      <t>HNF E3</t>
    </r>
    <r>
      <rPr>
        <sz val="12"/>
        <rFont val="Arial"/>
        <family val="2"/>
      </rPr>
      <t xml:space="preserve"> is paid monthly.  Any unspent HNF is not allowable under the excess BCM criteria as it should be spent on each eligible pupil in that financial year to meet their agreed needs. Please refer to paragraph on HNF in Late Allocation section of this document for further clarity.</t>
    </r>
  </si>
  <si>
    <r>
      <t xml:space="preserve">We are aware that some Academic grants need the second instalment set aside for specific expenditure e.g., </t>
    </r>
    <r>
      <rPr>
        <b/>
        <sz val="12"/>
        <rFont val="Arial"/>
        <family val="2"/>
      </rPr>
      <t>Teaching Schoo</t>
    </r>
    <r>
      <rPr>
        <sz val="12"/>
        <rFont val="Arial"/>
        <family val="2"/>
      </rPr>
      <t xml:space="preserve">l funding, where funding is received in advance to pay for April to August salaries for the next financial year and this will be allowable as excess BCM. </t>
    </r>
  </si>
  <si>
    <t>THIS FORM SHOULD ONLY BE USED FOR YOUR YEAR END SUBMISSION TO SCHOOLS FINANCIAL SERVICES.</t>
  </si>
  <si>
    <t>If you have a surplus balance enter the figure with a leading minus. If you enter a positive figure, a prompt will tell you "You are in Deficit".</t>
  </si>
  <si>
    <t>General reminder</t>
  </si>
  <si>
    <t>schoolfinancereturns@theeducationpeople.org</t>
  </si>
  <si>
    <t>If you require assistance with clearing any message prompts, please contact  the Returns &amp; Compliance team.</t>
  </si>
  <si>
    <t>When this form has been completed and all prompt messages have been addressed, email the saved excel formatted file to:</t>
  </si>
  <si>
    <t>Total Revenue Funds in Section 2.1</t>
  </si>
  <si>
    <r>
      <t xml:space="preserve">The remaining </t>
    </r>
    <r>
      <rPr>
        <b/>
        <sz val="14"/>
        <rFont val="Arial"/>
        <family val="2"/>
      </rPr>
      <t>Committed</t>
    </r>
    <r>
      <rPr>
        <sz val="14"/>
        <rFont val="Arial"/>
        <family val="2"/>
      </rPr>
      <t xml:space="preserve"> element from </t>
    </r>
    <r>
      <rPr>
        <b/>
        <sz val="14"/>
        <rFont val="Arial"/>
        <family val="2"/>
      </rPr>
      <t>Row A</t>
    </r>
    <r>
      <rPr>
        <sz val="14"/>
        <rFont val="Arial"/>
        <family val="2"/>
      </rPr>
      <t xml:space="preserve"> above.</t>
    </r>
  </si>
  <si>
    <r>
      <t xml:space="preserve">The </t>
    </r>
    <r>
      <rPr>
        <b/>
        <sz val="14"/>
        <rFont val="Arial"/>
        <family val="2"/>
      </rPr>
      <t>Uncommitted</t>
    </r>
    <r>
      <rPr>
        <sz val="14"/>
        <rFont val="Arial"/>
        <family val="2"/>
      </rPr>
      <t xml:space="preserve"> element from </t>
    </r>
    <r>
      <rPr>
        <b/>
        <sz val="14"/>
        <rFont val="Arial"/>
        <family val="2"/>
      </rPr>
      <t>Row A</t>
    </r>
    <r>
      <rPr>
        <sz val="14"/>
        <rFont val="Arial"/>
        <family val="2"/>
      </rPr>
      <t xml:space="preserve"> above
</t>
    </r>
    <r>
      <rPr>
        <b/>
        <sz val="16"/>
        <rFont val="Arial"/>
        <family val="2"/>
      </rPr>
      <t>If the figure in row A is a deficit, enter the whole amount here with a leading minus</t>
    </r>
  </si>
  <si>
    <t>Rates</t>
  </si>
  <si>
    <t>Kelsi / Invoice</t>
  </si>
  <si>
    <t>I18-01</t>
  </si>
  <si>
    <t>I01-01 and -50</t>
  </si>
  <si>
    <t xml:space="preserve">
</t>
  </si>
  <si>
    <t xml:space="preserve">Funding that the school know they are due to receive will not be allowable as a Late Allocation even if this funding is not paid till a later date </t>
  </si>
  <si>
    <t xml:space="preserve">Schools can be over the BCM if they plan to make a revenue to capital contribution for a future capital project that is planned for the following year. </t>
  </si>
  <si>
    <t>The full cost of the project is required, include details of how much of the excess BCM will be used to fund the project, taking into account any surplus capital funds.</t>
  </si>
  <si>
    <r>
      <rPr>
        <b/>
        <sz val="12"/>
        <rFont val="Arial"/>
        <family val="2"/>
      </rPr>
      <t>Pupil Premium</t>
    </r>
    <r>
      <rPr>
        <sz val="12"/>
        <rFont val="Arial"/>
        <family val="2"/>
      </rPr>
      <t xml:space="preserve"> is paid to schools in 12 equal instalments.  The 2024-25 Conditions of Grant state that t</t>
    </r>
    <r>
      <rPr>
        <sz val="12"/>
        <color rgb="FF0B0C0C"/>
        <rFont val="Arial"/>
        <family val="2"/>
      </rPr>
      <t>he grant does not have to be completely spent by schools in the financial year beginning 1 April 2024; some or all of it may be carried forward to future financial years. Any funding that is carried forward must be spent according to the conditions in this document.</t>
    </r>
  </si>
  <si>
    <t>The returns information must include details of what the funds are being used for, and the school/s it is held on behalf of.</t>
  </si>
  <si>
    <t>Version March 2025</t>
  </si>
  <si>
    <t>This form is to be used as part of the 2024-25 Year End returns only</t>
  </si>
  <si>
    <t>Evidence should be retained in the school. Complete school - list Row 56</t>
  </si>
  <si>
    <t>Examples: Collaborative Funding with Partnership School, you will be required to name schools.</t>
  </si>
  <si>
    <r>
      <t xml:space="preserve">Revenue contribution to Capital project (planned for NEW year),needed in addition to surplus (c/f) capital funds 
</t>
    </r>
    <r>
      <rPr>
        <b/>
        <sz val="14"/>
        <rFont val="Arial"/>
        <family val="2"/>
      </rPr>
      <t>Provide detail below in section 4.1</t>
    </r>
  </si>
  <si>
    <t>IF YOU ARE OVER BCM BECAUSE YOU ARE HOLDING MONEY ON BEHALF OF OTHER SCHOOLS. PLEASE LIST THE SCHOOLS HERE:</t>
  </si>
  <si>
    <t>March 2025 Advance figures</t>
  </si>
  <si>
    <t>Don’t overtype orange column  - they contain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</si>
</sst>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30" x14ac:knownFonts="1">
    <font>
      <sz val="12"/>
      <name val="Arial"/>
    </font>
    <font>
      <sz val="12"/>
      <name val="Arial"/>
      <family val="2"/>
    </font>
    <font>
      <b/>
      <sz val="14"/>
      <name val="Arial"/>
      <family val="2"/>
    </font>
    <font>
      <sz val="14"/>
      <name val="Arial"/>
      <family val="2"/>
    </font>
    <font>
      <b/>
      <sz val="16"/>
      <name val="Arial"/>
      <family val="2"/>
    </font>
    <font>
      <b/>
      <sz val="18"/>
      <name val="Arial"/>
      <family val="2"/>
    </font>
    <font>
      <sz val="12"/>
      <name val="Arial"/>
      <family val="2"/>
    </font>
    <font>
      <b/>
      <sz val="12"/>
      <name val="Arial"/>
      <family val="2"/>
    </font>
    <font>
      <sz val="10"/>
      <name val="Arial"/>
      <family val="2"/>
    </font>
    <font>
      <sz val="26"/>
      <name val="Arial"/>
      <family val="2"/>
    </font>
    <font>
      <sz val="12"/>
      <color theme="0"/>
      <name val="Arial"/>
      <family val="2"/>
    </font>
    <font>
      <sz val="14"/>
      <color theme="1"/>
      <name val="Arial"/>
      <family val="2"/>
    </font>
    <font>
      <b/>
      <sz val="14"/>
      <color rgb="FFFF0000"/>
      <name val="Arial"/>
      <family val="2"/>
    </font>
    <font>
      <sz val="16"/>
      <name val="Arial"/>
      <family val="2"/>
    </font>
    <font>
      <b/>
      <sz val="14"/>
      <color theme="1"/>
      <name val="Arial"/>
      <family val="2"/>
    </font>
    <font>
      <b/>
      <sz val="10"/>
      <color theme="0" tint="-0.249977111117893"/>
      <name val="Arial"/>
      <family val="2"/>
    </font>
    <font>
      <b/>
      <sz val="14"/>
      <color rgb="FFFF0000"/>
      <name val="Calibri"/>
      <family val="2"/>
      <scheme val="minor"/>
    </font>
    <font>
      <b/>
      <u/>
      <sz val="14"/>
      <name val="Arial"/>
      <family val="2"/>
    </font>
    <font>
      <b/>
      <u/>
      <sz val="12"/>
      <name val="Arial"/>
      <family val="2"/>
    </font>
    <font>
      <b/>
      <sz val="10"/>
      <name val="Arial"/>
      <family val="2"/>
    </font>
    <font>
      <b/>
      <sz val="12"/>
      <color rgb="FF202124"/>
      <name val="Arial"/>
      <family val="2"/>
    </font>
    <font>
      <b/>
      <sz val="12"/>
      <color rgb="FFFF0000"/>
      <name val="Arial"/>
      <family val="2"/>
    </font>
    <font>
      <sz val="12"/>
      <color rgb="FF000000"/>
      <name val="Arial"/>
      <family val="2"/>
    </font>
    <font>
      <sz val="12"/>
      <name val="Symbol"/>
      <family val="1"/>
      <charset val="2"/>
    </font>
    <font>
      <vertAlign val="superscript"/>
      <sz val="12"/>
      <name val="Arial"/>
      <family val="2"/>
    </font>
    <font>
      <sz val="12"/>
      <color rgb="FF0B0C0C"/>
      <name val="Arial"/>
      <family val="2"/>
    </font>
    <font>
      <b/>
      <u/>
      <sz val="12"/>
      <color rgb="FF000000"/>
      <name val="Arial"/>
      <family val="2"/>
    </font>
    <font>
      <sz val="13"/>
      <name val="Arial"/>
      <family val="2"/>
    </font>
    <font>
      <u/>
      <sz val="12"/>
      <color theme="10"/>
      <name val="Arial"/>
      <family val="2"/>
    </font>
    <font>
      <u/>
      <sz val="18"/>
      <color theme="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66FF33"/>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0" fontId="28" fillId="0" borderId="0" applyNumberFormat="0" applyFill="0" applyBorder="0" applyAlignment="0" applyProtection="0"/>
  </cellStyleXfs>
  <cellXfs count="258">
    <xf numFmtId="0" fontId="0" fillId="0" borderId="0" xfId="0"/>
    <xf numFmtId="0" fontId="4" fillId="2" borderId="1" xfId="0" applyFont="1" applyFill="1" applyBorder="1" applyAlignment="1" applyProtection="1">
      <alignment horizontal="center" vertical="center"/>
      <protection locked="0"/>
    </xf>
    <xf numFmtId="2" fontId="0" fillId="0" borderId="0" xfId="0" applyNumberFormat="1"/>
    <xf numFmtId="0" fontId="6" fillId="0" borderId="0" xfId="0" applyFont="1"/>
    <xf numFmtId="164" fontId="6" fillId="0" borderId="0" xfId="0" applyNumberFormat="1" applyFont="1"/>
    <xf numFmtId="4" fontId="6" fillId="0" borderId="0" xfId="0" applyNumberFormat="1" applyFont="1"/>
    <xf numFmtId="0" fontId="6" fillId="0" borderId="0" xfId="0" applyFont="1" applyAlignment="1">
      <alignment horizontal="center" vertical="center"/>
    </xf>
    <xf numFmtId="0" fontId="6" fillId="0" borderId="0" xfId="3" applyFont="1" applyAlignment="1">
      <alignment horizontal="center"/>
    </xf>
    <xf numFmtId="0" fontId="6" fillId="0" borderId="0" xfId="3" applyFont="1" applyAlignment="1">
      <alignment horizontal="center" vertical="top" wrapText="1"/>
    </xf>
    <xf numFmtId="0" fontId="6" fillId="0" borderId="0" xfId="3" applyFont="1" applyAlignment="1">
      <alignment horizontal="left" vertical="center" wrapText="1"/>
    </xf>
    <xf numFmtId="0" fontId="0" fillId="0" borderId="0" xfId="0" applyAlignment="1">
      <alignment horizontal="left" vertical="center"/>
    </xf>
    <xf numFmtId="43" fontId="3" fillId="3" borderId="9" xfId="1" applyFont="1" applyFill="1" applyBorder="1" applyAlignment="1" applyProtection="1">
      <alignment horizontal="right" vertical="center"/>
      <protection locked="0"/>
    </xf>
    <xf numFmtId="0" fontId="0" fillId="0" borderId="0" xfId="0" applyAlignment="1">
      <alignment horizontal="center"/>
    </xf>
    <xf numFmtId="9" fontId="0" fillId="0" borderId="0" xfId="0" applyNumberFormat="1" applyAlignment="1">
      <alignment horizontal="center" vertical="center"/>
    </xf>
    <xf numFmtId="4" fontId="0" fillId="0" borderId="0" xfId="0" applyNumberFormat="1"/>
    <xf numFmtId="10" fontId="0" fillId="0" borderId="0" xfId="0" applyNumberFormat="1"/>
    <xf numFmtId="4" fontId="0" fillId="0" borderId="0" xfId="0" applyNumberFormat="1" applyAlignment="1">
      <alignment horizontal="center"/>
    </xf>
    <xf numFmtId="4" fontId="6" fillId="6" borderId="0" xfId="0" applyNumberFormat="1" applyFont="1" applyFill="1"/>
    <xf numFmtId="4" fontId="6" fillId="6" borderId="0" xfId="3" applyNumberFormat="1" applyFont="1" applyFill="1" applyAlignment="1">
      <alignment horizontal="left" vertical="center" wrapText="1"/>
    </xf>
    <xf numFmtId="0" fontId="0" fillId="6" borderId="0" xfId="0" applyFill="1" applyAlignment="1">
      <alignment horizontal="center"/>
    </xf>
    <xf numFmtId="0" fontId="0" fillId="6" borderId="0" xfId="0" applyFill="1" applyAlignment="1">
      <alignment horizontal="center" vertical="center"/>
    </xf>
    <xf numFmtId="0" fontId="6" fillId="0" borderId="0" xfId="0" applyFont="1" applyAlignment="1">
      <alignment horizontal="center"/>
    </xf>
    <xf numFmtId="43" fontId="3" fillId="8" borderId="5" xfId="1" applyFont="1" applyFill="1" applyBorder="1" applyAlignment="1" applyProtection="1">
      <alignment horizontal="right" vertical="center"/>
      <protection locked="0"/>
    </xf>
    <xf numFmtId="0" fontId="6" fillId="8" borderId="3" xfId="0" applyFont="1" applyFill="1" applyBorder="1" applyAlignment="1" applyProtection="1">
      <alignment vertical="center" wrapText="1"/>
      <protection locked="0"/>
    </xf>
    <xf numFmtId="43" fontId="3" fillId="9" borderId="5" xfId="1" applyFont="1" applyFill="1" applyBorder="1" applyAlignment="1" applyProtection="1">
      <alignment horizontal="right" vertical="center"/>
      <protection locked="0"/>
    </xf>
    <xf numFmtId="0" fontId="6" fillId="9" borderId="3" xfId="0" applyFont="1" applyFill="1" applyBorder="1" applyAlignment="1" applyProtection="1">
      <alignment vertical="center" wrapText="1"/>
      <protection locked="0"/>
    </xf>
    <xf numFmtId="0" fontId="6" fillId="9" borderId="4" xfId="0" applyFont="1" applyFill="1" applyBorder="1" applyAlignment="1" applyProtection="1">
      <alignment vertical="center" wrapText="1"/>
      <protection locked="0"/>
    </xf>
    <xf numFmtId="0" fontId="6" fillId="10" borderId="3" xfId="0" applyFont="1" applyFill="1" applyBorder="1" applyAlignment="1" applyProtection="1">
      <alignment vertical="top" wrapText="1"/>
      <protection locked="0"/>
    </xf>
    <xf numFmtId="0" fontId="6" fillId="10" borderId="6" xfId="0" applyFont="1" applyFill="1" applyBorder="1" applyAlignment="1" applyProtection="1">
      <alignment vertical="top" wrapText="1"/>
      <protection locked="0"/>
    </xf>
    <xf numFmtId="43" fontId="3" fillId="11" borderId="9" xfId="1" applyFont="1" applyFill="1" applyBorder="1" applyAlignment="1" applyProtection="1">
      <alignment horizontal="right" vertical="center"/>
      <protection locked="0"/>
    </xf>
    <xf numFmtId="0" fontId="6" fillId="11" borderId="3" xfId="0" applyFont="1" applyFill="1" applyBorder="1" applyAlignment="1" applyProtection="1">
      <alignment vertical="top" wrapText="1"/>
      <protection locked="0"/>
    </xf>
    <xf numFmtId="0" fontId="6" fillId="11" borderId="6" xfId="0" applyFont="1" applyFill="1" applyBorder="1" applyAlignment="1" applyProtection="1">
      <alignment vertical="top" wrapText="1"/>
      <protection locked="0"/>
    </xf>
    <xf numFmtId="43" fontId="3" fillId="0" borderId="8" xfId="1" applyFont="1" applyBorder="1" applyAlignment="1" applyProtection="1">
      <alignment horizontal="right" vertical="center"/>
      <protection locked="0"/>
    </xf>
    <xf numFmtId="0" fontId="15" fillId="0" borderId="0" xfId="0" applyFont="1"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2" fillId="5" borderId="11" xfId="0" applyFont="1" applyFill="1" applyBorder="1" applyAlignment="1">
      <alignment horizontal="left" vertical="center"/>
    </xf>
    <xf numFmtId="0" fontId="2" fillId="5" borderId="12" xfId="0" applyFont="1" applyFill="1" applyBorder="1" applyAlignment="1">
      <alignment horizontal="center" vertical="top" wrapText="1"/>
    </xf>
    <xf numFmtId="0" fontId="2" fillId="0" borderId="15" xfId="0" applyFont="1" applyBorder="1" applyAlignment="1">
      <alignment horizontal="center" vertical="center"/>
    </xf>
    <xf numFmtId="43" fontId="3" fillId="5" borderId="5" xfId="1" applyFont="1" applyFill="1" applyBorder="1" applyAlignment="1" applyProtection="1">
      <alignment horizontal="right" vertical="center"/>
    </xf>
    <xf numFmtId="0" fontId="2" fillId="0" borderId="3"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right" vertical="center"/>
    </xf>
    <xf numFmtId="0" fontId="2" fillId="5" borderId="13" xfId="0" applyFont="1" applyFill="1" applyBorder="1" applyAlignment="1">
      <alignment vertical="center"/>
    </xf>
    <xf numFmtId="4" fontId="2" fillId="5" borderId="10" xfId="0" applyNumberFormat="1" applyFont="1" applyFill="1" applyBorder="1" applyAlignment="1">
      <alignment horizontal="center" vertical="center" wrapText="1"/>
    </xf>
    <xf numFmtId="0" fontId="2" fillId="0" borderId="14" xfId="0" applyFont="1" applyBorder="1" applyAlignment="1">
      <alignment horizontal="center" vertical="center"/>
    </xf>
    <xf numFmtId="43" fontId="3" fillId="5" borderId="8" xfId="1" applyFont="1" applyFill="1" applyBorder="1" applyAlignment="1" applyProtection="1">
      <alignment horizontal="right" vertical="center"/>
    </xf>
    <xf numFmtId="43" fontId="3" fillId="5" borderId="9" xfId="1" applyFont="1" applyFill="1" applyBorder="1" applyAlignment="1" applyProtection="1">
      <alignment horizontal="right" vertical="center"/>
    </xf>
    <xf numFmtId="0" fontId="2" fillId="8" borderId="16" xfId="0" applyFont="1" applyFill="1" applyBorder="1" applyAlignment="1">
      <alignment horizontal="center" vertical="center"/>
    </xf>
    <xf numFmtId="0" fontId="2" fillId="9" borderId="16"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7" xfId="0" applyFont="1" applyBorder="1" applyAlignment="1">
      <alignment horizontal="center" vertical="center"/>
    </xf>
    <xf numFmtId="43" fontId="3" fillId="5" borderId="7" xfId="1" applyFont="1" applyFill="1" applyBorder="1" applyAlignment="1" applyProtection="1">
      <alignment horizontal="right" vertical="center"/>
    </xf>
    <xf numFmtId="0" fontId="2" fillId="8" borderId="18" xfId="0" applyFont="1" applyFill="1" applyBorder="1" applyAlignment="1">
      <alignment horizontal="center" vertical="center" wrapText="1"/>
    </xf>
    <xf numFmtId="0" fontId="11" fillId="8" borderId="19" xfId="0" applyFont="1" applyFill="1" applyBorder="1" applyAlignment="1">
      <alignment horizontal="right" vertical="center" wrapText="1"/>
    </xf>
    <xf numFmtId="0" fontId="0" fillId="0" borderId="0" xfId="0" applyAlignment="1">
      <alignment vertical="center"/>
    </xf>
    <xf numFmtId="0" fontId="2" fillId="9" borderId="18" xfId="0" applyFont="1" applyFill="1" applyBorder="1" applyAlignment="1">
      <alignment horizontal="center" vertical="center" wrapText="1"/>
    </xf>
    <xf numFmtId="0" fontId="3" fillId="9" borderId="19" xfId="0" applyFont="1" applyFill="1" applyBorder="1" applyAlignment="1">
      <alignment horizontal="right" vertical="center" wrapText="1"/>
    </xf>
    <xf numFmtId="0" fontId="3" fillId="9" borderId="20" xfId="0" applyFont="1" applyFill="1" applyBorder="1" applyAlignment="1">
      <alignment horizontal="right" vertical="center" wrapText="1"/>
    </xf>
    <xf numFmtId="0" fontId="2" fillId="10" borderId="18" xfId="0" applyFont="1" applyFill="1" applyBorder="1" applyAlignment="1">
      <alignment horizontal="center" vertical="center" wrapText="1"/>
    </xf>
    <xf numFmtId="0" fontId="3" fillId="10" borderId="19" xfId="0" applyFont="1" applyFill="1" applyBorder="1" applyAlignment="1">
      <alignment vertical="center" wrapText="1"/>
    </xf>
    <xf numFmtId="0" fontId="3" fillId="10" borderId="21" xfId="0" applyFont="1" applyFill="1" applyBorder="1" applyAlignment="1">
      <alignment vertical="center" wrapText="1"/>
    </xf>
    <xf numFmtId="0" fontId="2" fillId="11" borderId="18" xfId="0" applyFont="1" applyFill="1" applyBorder="1" applyAlignment="1">
      <alignment horizontal="center" vertical="center" wrapText="1"/>
    </xf>
    <xf numFmtId="0" fontId="3" fillId="11" borderId="19" xfId="0" applyFont="1" applyFill="1" applyBorder="1" applyAlignment="1">
      <alignment vertical="center" wrapText="1"/>
    </xf>
    <xf numFmtId="0" fontId="3" fillId="11" borderId="21" xfId="0" applyFont="1" applyFill="1" applyBorder="1" applyAlignment="1">
      <alignment vertical="center" wrapText="1"/>
    </xf>
    <xf numFmtId="44" fontId="0" fillId="0" borderId="0" xfId="2" applyFont="1" applyProtection="1"/>
    <xf numFmtId="43" fontId="3" fillId="0" borderId="9" xfId="1" applyFont="1" applyBorder="1" applyAlignment="1" applyProtection="1">
      <alignment horizontal="right" vertical="center"/>
      <protection locked="0"/>
    </xf>
    <xf numFmtId="43" fontId="3" fillId="12" borderId="3" xfId="1" applyFont="1" applyFill="1" applyBorder="1" applyAlignment="1" applyProtection="1">
      <alignment horizontal="right" vertical="center"/>
    </xf>
    <xf numFmtId="0" fontId="2" fillId="0" borderId="0" xfId="0" applyFont="1" applyAlignment="1">
      <alignment horizontal="center" vertical="center"/>
    </xf>
    <xf numFmtId="43" fontId="3" fillId="0" borderId="0" xfId="1" applyFont="1" applyFill="1" applyBorder="1" applyAlignment="1" applyProtection="1">
      <alignment horizontal="right" vertical="center"/>
    </xf>
    <xf numFmtId="0" fontId="2" fillId="0" borderId="4" xfId="0" applyFont="1" applyBorder="1" applyAlignment="1">
      <alignment horizontal="center" vertical="center"/>
    </xf>
    <xf numFmtId="43" fontId="3" fillId="0" borderId="9" xfId="1" applyFont="1" applyBorder="1" applyAlignment="1" applyProtection="1">
      <alignment horizontal="center" vertical="center"/>
      <protection locked="0"/>
    </xf>
    <xf numFmtId="0" fontId="2" fillId="11" borderId="39" xfId="0" applyFont="1" applyFill="1" applyBorder="1" applyAlignment="1">
      <alignment horizontal="center" vertical="center"/>
    </xf>
    <xf numFmtId="43" fontId="3" fillId="5" borderId="50" xfId="1" applyFont="1" applyFill="1" applyBorder="1" applyAlignment="1" applyProtection="1">
      <alignment horizontal="center" vertical="center"/>
    </xf>
    <xf numFmtId="43" fontId="3" fillId="5" borderId="10" xfId="1" applyFont="1" applyFill="1" applyBorder="1" applyAlignment="1" applyProtection="1">
      <alignment horizontal="right" vertical="center"/>
    </xf>
    <xf numFmtId="43" fontId="3" fillId="5" borderId="17" xfId="1" applyFont="1" applyFill="1" applyBorder="1" applyAlignment="1" applyProtection="1">
      <alignment horizontal="center" vertical="center"/>
    </xf>
    <xf numFmtId="0" fontId="17" fillId="0" borderId="0" xfId="0" applyFont="1"/>
    <xf numFmtId="0" fontId="1" fillId="0" borderId="0" xfId="0" applyFont="1"/>
    <xf numFmtId="0" fontId="18" fillId="0" borderId="0" xfId="0" applyFont="1"/>
    <xf numFmtId="0" fontId="8" fillId="0" borderId="0" xfId="0" applyFont="1"/>
    <xf numFmtId="10" fontId="6" fillId="0" borderId="0" xfId="0" applyNumberFormat="1" applyFont="1" applyAlignment="1">
      <alignment horizontal="center" vertical="center"/>
    </xf>
    <xf numFmtId="0" fontId="19" fillId="0" borderId="0" xfId="0" applyFont="1"/>
    <xf numFmtId="0" fontId="20" fillId="0" borderId="0" xfId="0" applyFont="1"/>
    <xf numFmtId="0" fontId="21" fillId="0" borderId="0" xfId="0" applyFont="1"/>
    <xf numFmtId="0" fontId="1"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vertical="center"/>
    </xf>
    <xf numFmtId="0" fontId="1" fillId="0" borderId="0" xfId="0" applyFont="1" applyAlignment="1">
      <alignment horizontal="left" vertical="center" indent="4"/>
    </xf>
    <xf numFmtId="0" fontId="1" fillId="0" borderId="0" xfId="0" applyFont="1" applyAlignment="1">
      <alignment horizontal="left" vertical="center" indent="6"/>
    </xf>
    <xf numFmtId="0" fontId="26" fillId="0" borderId="0" xfId="0" applyFont="1" applyAlignment="1">
      <alignment vertical="center"/>
    </xf>
    <xf numFmtId="0" fontId="1" fillId="0" borderId="0" xfId="0" applyFont="1" applyAlignment="1">
      <alignment wrapText="1"/>
    </xf>
    <xf numFmtId="0" fontId="18" fillId="0" borderId="0" xfId="0" applyFont="1" applyAlignment="1">
      <alignment vertical="center"/>
    </xf>
    <xf numFmtId="0" fontId="1" fillId="0" borderId="0" xfId="0" applyFont="1" applyAlignment="1">
      <alignment horizontal="left" vertical="center"/>
    </xf>
    <xf numFmtId="0" fontId="3" fillId="0" borderId="0" xfId="0" applyFont="1" applyAlignment="1">
      <alignment wrapText="1"/>
    </xf>
    <xf numFmtId="0" fontId="27" fillId="0" borderId="0" xfId="0" applyFont="1" applyAlignment="1">
      <alignment wrapText="1"/>
    </xf>
    <xf numFmtId="0" fontId="25" fillId="0" borderId="0" xfId="0" applyFont="1" applyAlignment="1">
      <alignment horizontal="left" vertical="center" indent="6"/>
    </xf>
    <xf numFmtId="0" fontId="7" fillId="0" borderId="0" xfId="0" applyFont="1" applyAlignment="1">
      <alignment horizontal="left" vertical="center" indent="6"/>
    </xf>
    <xf numFmtId="0" fontId="23" fillId="0" borderId="0" xfId="0" applyFont="1" applyAlignment="1">
      <alignment horizontal="left" vertical="top" indent="4"/>
    </xf>
    <xf numFmtId="0" fontId="29" fillId="0" borderId="0" xfId="4" applyFont="1"/>
    <xf numFmtId="0" fontId="10" fillId="0" borderId="0" xfId="0" applyFont="1"/>
    <xf numFmtId="0" fontId="2" fillId="0" borderId="0" xfId="0" applyFont="1" applyAlignment="1">
      <alignment wrapText="1"/>
    </xf>
    <xf numFmtId="10" fontId="10" fillId="4" borderId="0" xfId="0" applyNumberFormat="1" applyFont="1" applyFill="1" applyAlignment="1">
      <alignment horizontal="center" vertical="center"/>
    </xf>
    <xf numFmtId="0" fontId="6" fillId="0" borderId="0" xfId="0" applyFont="1" applyAlignment="1">
      <alignment vertical="center"/>
    </xf>
    <xf numFmtId="43" fontId="0" fillId="0" borderId="0" xfId="0" applyNumberFormat="1"/>
    <xf numFmtId="0" fontId="12" fillId="0" borderId="42" xfId="0" applyFont="1" applyBorder="1" applyAlignment="1">
      <alignment vertical="center"/>
    </xf>
    <xf numFmtId="0" fontId="12" fillId="0" borderId="0" xfId="0" applyFont="1" applyAlignment="1">
      <alignment vertical="center"/>
    </xf>
    <xf numFmtId="0" fontId="12" fillId="0" borderId="0" xfId="0" applyFont="1" applyAlignment="1">
      <alignment vertical="center" wrapText="1"/>
    </xf>
    <xf numFmtId="0" fontId="2" fillId="0" borderId="0" xfId="0" applyFont="1" applyAlignment="1">
      <alignment vertical="center"/>
    </xf>
    <xf numFmtId="43" fontId="16" fillId="0" borderId="0" xfId="0" applyNumberFormat="1"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0" fontId="3" fillId="0" borderId="0" xfId="0" applyFont="1"/>
    <xf numFmtId="15" fontId="3" fillId="8" borderId="5" xfId="0" applyNumberFormat="1" applyFont="1" applyFill="1" applyBorder="1" applyAlignment="1" applyProtection="1">
      <alignment horizontal="center" vertical="center" wrapText="1"/>
      <protection locked="0"/>
    </xf>
    <xf numFmtId="15" fontId="3" fillId="9" borderId="5" xfId="0" applyNumberFormat="1" applyFont="1" applyFill="1" applyBorder="1" applyAlignment="1" applyProtection="1">
      <alignment horizontal="center" vertical="center" wrapText="1"/>
      <protection locked="0"/>
    </xf>
    <xf numFmtId="15" fontId="3" fillId="10" borderId="5" xfId="0" applyNumberFormat="1" applyFont="1" applyFill="1" applyBorder="1" applyAlignment="1" applyProtection="1">
      <alignment horizontal="center" vertical="center" wrapText="1"/>
      <protection locked="0"/>
    </xf>
    <xf numFmtId="15" fontId="3" fillId="10" borderId="7" xfId="0" applyNumberFormat="1" applyFont="1" applyFill="1" applyBorder="1" applyAlignment="1" applyProtection="1">
      <alignment horizontal="center" vertical="center" wrapText="1"/>
      <protection locked="0"/>
    </xf>
    <xf numFmtId="15" fontId="3" fillId="11" borderId="5" xfId="0" applyNumberFormat="1" applyFont="1" applyFill="1" applyBorder="1" applyAlignment="1" applyProtection="1">
      <alignment horizontal="center" vertical="center" wrapText="1"/>
      <protection locked="0"/>
    </xf>
    <xf numFmtId="15" fontId="3" fillId="11" borderId="7" xfId="0" applyNumberFormat="1" applyFont="1" applyFill="1" applyBorder="1" applyAlignment="1" applyProtection="1">
      <alignment horizontal="center" vertical="center" wrapText="1"/>
      <protection locked="0"/>
    </xf>
    <xf numFmtId="0" fontId="6" fillId="0" borderId="0" xfId="0" applyFont="1" applyAlignment="1">
      <alignment shrinkToFit="1"/>
    </xf>
    <xf numFmtId="0" fontId="6" fillId="0" borderId="0" xfId="3" applyFont="1" applyAlignment="1">
      <alignment horizontal="left" vertical="center" shrinkToFit="1"/>
    </xf>
    <xf numFmtId="0" fontId="6" fillId="0" borderId="0" xfId="3" applyFont="1" applyAlignment="1">
      <alignment horizontal="left" vertical="top" shrinkToFit="1"/>
    </xf>
    <xf numFmtId="0" fontId="1" fillId="0" borderId="0" xfId="3" applyFont="1" applyAlignment="1">
      <alignment horizontal="left" vertical="top" shrinkToFit="1"/>
    </xf>
    <xf numFmtId="3" fontId="6" fillId="0" borderId="0" xfId="0" applyNumberFormat="1" applyFont="1"/>
    <xf numFmtId="4" fontId="6" fillId="6" borderId="0" xfId="0" applyNumberFormat="1" applyFont="1" applyFill="1" applyAlignment="1">
      <alignment horizontal="center" vertical="center"/>
    </xf>
    <xf numFmtId="0" fontId="0" fillId="6" borderId="0" xfId="0" applyFill="1"/>
    <xf numFmtId="0" fontId="0" fillId="6" borderId="0" xfId="0" applyFill="1" applyAlignment="1">
      <alignment horizontal="center" vertical="center" wrapText="1"/>
    </xf>
    <xf numFmtId="0" fontId="1" fillId="0" borderId="0" xfId="0" applyFont="1" applyAlignment="1">
      <alignment vertical="center" wrapText="1"/>
    </xf>
    <xf numFmtId="14" fontId="0" fillId="0" borderId="0" xfId="0" applyNumberFormat="1"/>
    <xf numFmtId="164" fontId="0" fillId="0" borderId="0" xfId="0" applyNumberFormat="1" applyAlignment="1" applyProtection="1">
      <alignment horizontal="center" vertical="center"/>
      <protection locked="0"/>
    </xf>
    <xf numFmtId="0" fontId="1" fillId="15" borderId="0" xfId="0" applyFont="1" applyFill="1" applyAlignment="1">
      <alignment horizontal="left" vertical="center"/>
    </xf>
    <xf numFmtId="0" fontId="6" fillId="15" borderId="0" xfId="0" applyFont="1" applyFill="1" applyAlignment="1">
      <alignment horizontal="left" vertical="center"/>
    </xf>
    <xf numFmtId="4" fontId="6" fillId="15" borderId="0" xfId="0" applyNumberFormat="1" applyFont="1" applyFill="1" applyAlignment="1">
      <alignment horizontal="center" vertical="center"/>
    </xf>
    <xf numFmtId="4" fontId="6" fillId="15" borderId="0" xfId="0" applyNumberFormat="1" applyFont="1" applyFill="1" applyAlignment="1">
      <alignment horizontal="left" vertical="center"/>
    </xf>
    <xf numFmtId="0" fontId="1" fillId="15" borderId="0" xfId="0" applyFont="1" applyFill="1"/>
    <xf numFmtId="0" fontId="6" fillId="6" borderId="0" xfId="0" applyFont="1" applyFill="1" applyAlignment="1">
      <alignment horizontal="center" vertical="center"/>
    </xf>
    <xf numFmtId="4" fontId="1" fillId="6" borderId="0" xfId="3" applyNumberFormat="1" applyFont="1" applyFill="1" applyAlignment="1">
      <alignment horizontal="center" vertical="center" wrapText="1"/>
    </xf>
    <xf numFmtId="0" fontId="21" fillId="0" borderId="0" xfId="0" applyFont="1" applyAlignment="1">
      <alignment horizontal="justify" vertical="top" wrapText="1"/>
    </xf>
    <xf numFmtId="0" fontId="1" fillId="0" borderId="0" xfId="0" applyFont="1" applyAlignment="1">
      <alignment horizontal="justify" vertical="top" wrapText="1"/>
    </xf>
    <xf numFmtId="0" fontId="1" fillId="0" borderId="0" xfId="0" applyFont="1" applyAlignment="1">
      <alignment horizontal="left" vertical="top" wrapText="1"/>
    </xf>
    <xf numFmtId="0" fontId="7" fillId="0" borderId="0" xfId="0" applyFont="1" applyAlignment="1">
      <alignment horizontal="justify" vertical="top" wrapText="1"/>
    </xf>
    <xf numFmtId="0" fontId="17" fillId="0" borderId="0" xfId="0" applyFont="1" applyAlignment="1">
      <alignment horizontal="center" vertical="center"/>
    </xf>
    <xf numFmtId="0" fontId="22" fillId="0" borderId="0" xfId="0" applyFont="1" applyAlignment="1">
      <alignment horizontal="justify" vertical="top" wrapText="1"/>
    </xf>
    <xf numFmtId="0" fontId="0" fillId="0" borderId="52" xfId="0" applyBorder="1"/>
    <xf numFmtId="0" fontId="0" fillId="0" borderId="0" xfId="0"/>
    <xf numFmtId="0" fontId="0" fillId="14" borderId="3" xfId="0" applyFill="1" applyBorder="1"/>
    <xf numFmtId="0" fontId="2" fillId="14" borderId="53" xfId="0" applyFont="1" applyFill="1" applyBorder="1" applyAlignment="1">
      <alignment vertical="center" wrapText="1"/>
    </xf>
    <xf numFmtId="0" fontId="3" fillId="14" borderId="54" xfId="0" applyFont="1" applyFill="1" applyBorder="1" applyAlignment="1">
      <alignment vertical="center" wrapText="1"/>
    </xf>
    <xf numFmtId="0" fontId="0" fillId="14" borderId="14" xfId="0" applyFill="1" applyBorder="1"/>
    <xf numFmtId="0" fontId="4" fillId="0" borderId="0" xfId="0" applyFont="1" applyAlignment="1">
      <alignment horizontal="center"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5" fillId="13" borderId="30" xfId="0" applyFont="1" applyFill="1" applyBorder="1" applyAlignment="1">
      <alignment horizontal="left" vertical="center"/>
    </xf>
    <xf numFmtId="0" fontId="5" fillId="13" borderId="15" xfId="0" applyFont="1" applyFill="1" applyBorder="1" applyAlignment="1">
      <alignment horizontal="left" vertical="center"/>
    </xf>
    <xf numFmtId="0" fontId="5" fillId="13" borderId="45" xfId="0" applyFont="1" applyFill="1" applyBorder="1" applyAlignment="1">
      <alignment horizontal="left"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51" xfId="0" applyFont="1" applyBorder="1" applyAlignment="1">
      <alignment horizontal="left" vertical="center" wrapText="1"/>
    </xf>
    <xf numFmtId="0" fontId="14" fillId="0" borderId="0" xfId="0" applyFont="1" applyAlignment="1">
      <alignment horizontal="center" vertical="center" wrapText="1"/>
    </xf>
    <xf numFmtId="0" fontId="12"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16" xfId="0" applyFont="1" applyBorder="1" applyAlignment="1">
      <alignment horizontal="left" vertical="center" wrapText="1"/>
    </xf>
    <xf numFmtId="0" fontId="3" fillId="0" borderId="24" xfId="0" applyFont="1" applyBorder="1" applyAlignment="1">
      <alignment horizontal="left" vertical="center" wrapText="1"/>
    </xf>
    <xf numFmtId="0" fontId="3" fillId="0" borderId="28" xfId="0" applyFont="1" applyBorder="1" applyAlignment="1">
      <alignment horizontal="left" vertical="center" wrapText="1"/>
    </xf>
    <xf numFmtId="0" fontId="3" fillId="0" borderId="39" xfId="0" applyFont="1" applyBorder="1" applyAlignment="1">
      <alignment horizontal="left" vertical="center" wrapText="1"/>
    </xf>
    <xf numFmtId="0" fontId="3" fillId="0" borderId="29" xfId="0" applyFont="1" applyBorder="1" applyAlignment="1">
      <alignment horizontal="left" vertical="center" wrapText="1"/>
    </xf>
    <xf numFmtId="0" fontId="2" fillId="0" borderId="49" xfId="0" applyFont="1" applyBorder="1" applyAlignment="1">
      <alignment horizontal="left" vertical="center"/>
    </xf>
    <xf numFmtId="0" fontId="2" fillId="0" borderId="13" xfId="0" applyFont="1" applyBorder="1" applyAlignment="1">
      <alignment horizontal="left" vertical="center"/>
    </xf>
    <xf numFmtId="0" fontId="2" fillId="12" borderId="23" xfId="0" applyFont="1" applyFill="1" applyBorder="1" applyAlignment="1">
      <alignment horizontal="left" vertical="center"/>
    </xf>
    <xf numFmtId="0" fontId="2" fillId="12" borderId="16" xfId="0" applyFont="1" applyFill="1" applyBorder="1" applyAlignment="1">
      <alignment horizontal="left" vertical="center"/>
    </xf>
    <xf numFmtId="0" fontId="2" fillId="12" borderId="18" xfId="0" applyFont="1" applyFill="1" applyBorder="1" applyAlignment="1">
      <alignment horizontal="left" vertical="center"/>
    </xf>
    <xf numFmtId="0" fontId="3" fillId="0" borderId="3" xfId="0" applyFont="1" applyBorder="1" applyAlignment="1">
      <alignment horizontal="left" vertical="center" wrapText="1"/>
    </xf>
    <xf numFmtId="0" fontId="4" fillId="12" borderId="32" xfId="0" applyFont="1" applyFill="1" applyBorder="1" applyAlignment="1">
      <alignment horizontal="left" vertical="center" wrapText="1"/>
    </xf>
    <xf numFmtId="0" fontId="4" fillId="12" borderId="33" xfId="0" applyFont="1" applyFill="1" applyBorder="1" applyAlignment="1">
      <alignment horizontal="left" vertical="center" wrapText="1"/>
    </xf>
    <xf numFmtId="0" fontId="4" fillId="12" borderId="36" xfId="0" applyFont="1" applyFill="1" applyBorder="1" applyAlignment="1">
      <alignment horizontal="left" vertical="center" wrapText="1"/>
    </xf>
    <xf numFmtId="0" fontId="3" fillId="0" borderId="25" xfId="0" applyFont="1" applyBorder="1" applyAlignment="1" applyProtection="1">
      <alignment horizontal="left" vertical="center"/>
      <protection hidden="1"/>
    </xf>
    <xf numFmtId="0" fontId="3" fillId="0" borderId="14" xfId="0" applyFont="1" applyBorder="1" applyAlignment="1" applyProtection="1">
      <alignment horizontal="left" vertical="center"/>
      <protection hidden="1"/>
    </xf>
    <xf numFmtId="0" fontId="3" fillId="0" borderId="20" xfId="0" applyFont="1" applyBorder="1" applyAlignment="1">
      <alignment horizontal="left" vertical="center"/>
    </xf>
    <xf numFmtId="0" fontId="3" fillId="0" borderId="4" xfId="0" applyFont="1" applyBorder="1" applyAlignment="1">
      <alignment horizontal="left" vertical="center"/>
    </xf>
    <xf numFmtId="0" fontId="13" fillId="0" borderId="42" xfId="0" applyFont="1" applyBorder="1" applyAlignment="1">
      <alignment horizontal="center" wrapText="1"/>
    </xf>
    <xf numFmtId="0" fontId="13"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42"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38" xfId="0" applyFont="1" applyBorder="1" applyAlignment="1">
      <alignment horizontal="right" vertical="center"/>
    </xf>
    <xf numFmtId="0" fontId="5" fillId="4" borderId="22" xfId="0" applyFont="1" applyFill="1" applyBorder="1" applyAlignment="1">
      <alignment horizontal="center" vertical="center"/>
    </xf>
    <xf numFmtId="0" fontId="5" fillId="0" borderId="0" xfId="0" applyFont="1" applyAlignment="1">
      <alignment horizontal="left" vertical="center"/>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37" xfId="0" applyFont="1" applyBorder="1" applyAlignment="1" applyProtection="1">
      <alignment horizontal="left" vertical="top" wrapText="1"/>
      <protection locked="0"/>
    </xf>
    <xf numFmtId="0" fontId="4" fillId="7" borderId="40" xfId="0" applyFont="1" applyFill="1" applyBorder="1" applyAlignment="1">
      <alignment horizontal="left" vertical="center" wrapText="1"/>
    </xf>
    <xf numFmtId="0" fontId="4" fillId="7" borderId="2" xfId="0" applyFont="1" applyFill="1" applyBorder="1" applyAlignment="1">
      <alignment horizontal="left" vertical="center" wrapText="1"/>
    </xf>
    <xf numFmtId="0" fontId="3" fillId="0" borderId="16" xfId="0" applyFont="1" applyBorder="1" applyAlignment="1">
      <alignment horizontal="left"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2" fillId="7" borderId="23" xfId="0" applyFont="1" applyFill="1" applyBorder="1" applyAlignment="1">
      <alignment horizontal="left" vertical="center" wrapText="1"/>
    </xf>
    <xf numFmtId="0" fontId="2" fillId="7" borderId="16"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11" borderId="23" xfId="0" applyFont="1" applyFill="1" applyBorder="1" applyAlignment="1">
      <alignment horizontal="left" vertical="center" wrapText="1"/>
    </xf>
    <xf numFmtId="0" fontId="2" fillId="11" borderId="16" xfId="0" applyFont="1" applyFill="1" applyBorder="1" applyAlignment="1">
      <alignment horizontal="left" vertical="center" wrapText="1"/>
    </xf>
    <xf numFmtId="0" fontId="2" fillId="11" borderId="35" xfId="0" applyFont="1" applyFill="1" applyBorder="1" applyAlignment="1">
      <alignment horizontal="center" vertical="center" wrapText="1"/>
    </xf>
    <xf numFmtId="0" fontId="2" fillId="11" borderId="24" xfId="0" applyFont="1" applyFill="1" applyBorder="1" applyAlignment="1">
      <alignment horizontal="center" vertical="center" wrapText="1"/>
    </xf>
    <xf numFmtId="0" fontId="5" fillId="12" borderId="46" xfId="0" applyFont="1" applyFill="1" applyBorder="1" applyAlignment="1">
      <alignment vertical="center"/>
    </xf>
    <xf numFmtId="0" fontId="5" fillId="12" borderId="47" xfId="0" applyFont="1" applyFill="1" applyBorder="1" applyAlignment="1">
      <alignment vertical="center"/>
    </xf>
    <xf numFmtId="0" fontId="5" fillId="12" borderId="48" xfId="0" applyFont="1" applyFill="1" applyBorder="1" applyAlignment="1">
      <alignment vertical="center"/>
    </xf>
    <xf numFmtId="0" fontId="2" fillId="8" borderId="30" xfId="0" applyFont="1" applyFill="1" applyBorder="1" applyAlignment="1">
      <alignment horizontal="left" vertical="center"/>
    </xf>
    <xf numFmtId="0" fontId="2" fillId="8" borderId="15" xfId="0" applyFont="1" applyFill="1" applyBorder="1" applyAlignment="1">
      <alignment horizontal="left" vertical="center"/>
    </xf>
    <xf numFmtId="0" fontId="2" fillId="8" borderId="45" xfId="0" applyFont="1" applyFill="1" applyBorder="1" applyAlignment="1">
      <alignment horizontal="left" vertical="center"/>
    </xf>
    <xf numFmtId="43" fontId="3" fillId="8" borderId="3" xfId="1" applyFont="1" applyFill="1" applyBorder="1" applyAlignment="1" applyProtection="1">
      <alignment horizontal="right" vertical="center" wrapText="1"/>
      <protection locked="0"/>
    </xf>
    <xf numFmtId="0" fontId="2" fillId="8" borderId="35" xfId="0" applyFont="1" applyFill="1" applyBorder="1" applyAlignment="1">
      <alignment horizontal="center" vertical="center" wrapText="1"/>
    </xf>
    <xf numFmtId="0" fontId="2" fillId="8" borderId="24" xfId="0" applyFont="1" applyFill="1" applyBorder="1" applyAlignment="1">
      <alignment horizontal="center" vertical="center" wrapText="1"/>
    </xf>
    <xf numFmtId="43" fontId="3" fillId="8" borderId="6" xfId="1" applyFont="1" applyFill="1" applyBorder="1" applyAlignment="1" applyProtection="1">
      <alignment horizontal="right" vertical="center" wrapText="1"/>
      <protection locked="0"/>
    </xf>
    <xf numFmtId="0" fontId="2" fillId="9" borderId="23"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35" xfId="0" applyFont="1" applyFill="1" applyBorder="1" applyAlignment="1">
      <alignment horizontal="center" vertical="center" wrapText="1"/>
    </xf>
    <xf numFmtId="0" fontId="2" fillId="9" borderId="24" xfId="0" applyFont="1" applyFill="1" applyBorder="1" applyAlignment="1">
      <alignment horizontal="center" vertical="center" wrapText="1"/>
    </xf>
    <xf numFmtId="0" fontId="2" fillId="11" borderId="32" xfId="0" applyFont="1" applyFill="1" applyBorder="1" applyAlignment="1">
      <alignment horizontal="left" vertical="center" wrapText="1"/>
    </xf>
    <xf numFmtId="0" fontId="2" fillId="11" borderId="33" xfId="0" applyFont="1" applyFill="1" applyBorder="1" applyAlignment="1">
      <alignment horizontal="left" vertical="center"/>
    </xf>
    <xf numFmtId="0" fontId="2" fillId="11" borderId="34" xfId="0" applyFont="1" applyFill="1" applyBorder="1" applyAlignment="1">
      <alignment horizontal="left" vertical="center"/>
    </xf>
    <xf numFmtId="43" fontId="3" fillId="10" borderId="6" xfId="1" applyFont="1" applyFill="1" applyBorder="1" applyAlignment="1" applyProtection="1">
      <alignment horizontal="right" vertical="top" wrapText="1"/>
      <protection locked="0"/>
    </xf>
    <xf numFmtId="43" fontId="3" fillId="11" borderId="3" xfId="1" applyFont="1" applyFill="1" applyBorder="1" applyAlignment="1" applyProtection="1">
      <alignment horizontal="right" vertical="top" wrapText="1"/>
      <protection locked="0"/>
    </xf>
    <xf numFmtId="43" fontId="3" fillId="11" borderId="6" xfId="1" applyFont="1" applyFill="1" applyBorder="1" applyAlignment="1" applyProtection="1">
      <alignment horizontal="right" vertical="top" wrapText="1"/>
      <protection locked="0"/>
    </xf>
    <xf numFmtId="0" fontId="2" fillId="10" borderId="32" xfId="0" applyFont="1" applyFill="1" applyBorder="1" applyAlignment="1">
      <alignment horizontal="left" vertical="center"/>
    </xf>
    <xf numFmtId="0" fontId="2" fillId="10" borderId="33" xfId="0" applyFont="1" applyFill="1" applyBorder="1" applyAlignment="1">
      <alignment horizontal="left" vertical="center"/>
    </xf>
    <xf numFmtId="0" fontId="2" fillId="10" borderId="34" xfId="0" applyFont="1" applyFill="1" applyBorder="1" applyAlignment="1">
      <alignment horizontal="left" vertical="center"/>
    </xf>
    <xf numFmtId="43" fontId="3" fillId="10" borderId="3" xfId="1" applyFont="1" applyFill="1" applyBorder="1" applyAlignment="1" applyProtection="1">
      <alignment horizontal="right" vertical="top" wrapText="1"/>
      <protection locked="0"/>
    </xf>
    <xf numFmtId="0" fontId="2" fillId="10" borderId="23" xfId="0" applyFont="1" applyFill="1" applyBorder="1" applyAlignment="1">
      <alignment horizontal="left" vertical="center" wrapText="1"/>
    </xf>
    <xf numFmtId="0" fontId="2" fillId="10" borderId="16" xfId="0" applyFont="1" applyFill="1" applyBorder="1" applyAlignment="1">
      <alignment horizontal="left" vertical="center" wrapText="1"/>
    </xf>
    <xf numFmtId="0" fontId="2" fillId="10" borderId="35"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9" borderId="32" xfId="0" applyFont="1" applyFill="1" applyBorder="1" applyAlignment="1">
      <alignment horizontal="left" vertical="center"/>
    </xf>
    <xf numFmtId="0" fontId="2" fillId="9" borderId="33" xfId="0" applyFont="1" applyFill="1" applyBorder="1" applyAlignment="1">
      <alignment horizontal="left" vertical="center"/>
    </xf>
    <xf numFmtId="0" fontId="2" fillId="9" borderId="34" xfId="0" applyFont="1" applyFill="1" applyBorder="1" applyAlignment="1">
      <alignment horizontal="left" vertical="center"/>
    </xf>
    <xf numFmtId="43" fontId="3" fillId="9" borderId="3" xfId="1" applyFont="1" applyFill="1" applyBorder="1" applyAlignment="1" applyProtection="1">
      <alignment horizontal="right" vertical="center" wrapText="1"/>
      <protection locked="0"/>
    </xf>
    <xf numFmtId="0" fontId="2" fillId="8" borderId="23"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0" borderId="21" xfId="0" applyFont="1" applyBorder="1" applyAlignment="1">
      <alignment horizontal="left" vertical="center"/>
    </xf>
    <xf numFmtId="0" fontId="3" fillId="0" borderId="6" xfId="0" applyFont="1" applyBorder="1" applyAlignment="1">
      <alignment horizontal="left" vertical="center"/>
    </xf>
    <xf numFmtId="0" fontId="3" fillId="0" borderId="29" xfId="0" applyFont="1" applyBorder="1" applyAlignment="1">
      <alignment horizontal="left" vertical="center"/>
    </xf>
    <xf numFmtId="43" fontId="3" fillId="9" borderId="4" xfId="1" applyFont="1" applyFill="1" applyBorder="1" applyAlignment="1" applyProtection="1">
      <alignment horizontal="right" vertical="center" wrapText="1"/>
      <protection locked="0"/>
    </xf>
    <xf numFmtId="0" fontId="9" fillId="7" borderId="40"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1"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38" xfId="0" applyFont="1" applyFill="1" applyBorder="1" applyAlignment="1">
      <alignment horizontal="center" vertical="center" wrapText="1"/>
    </xf>
    <xf numFmtId="0" fontId="9" fillId="7" borderId="43"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1" fillId="15" borderId="0" xfId="0" applyFont="1" applyFill="1" applyAlignment="1">
      <alignment horizontal="center"/>
    </xf>
    <xf numFmtId="4" fontId="1" fillId="6" borderId="0" xfId="0" applyNumberFormat="1" applyFont="1" applyFill="1" applyAlignment="1">
      <alignment wrapText="1"/>
    </xf>
  </cellXfs>
  <cellStyles count="5">
    <cellStyle name="Comma" xfId="1" builtinId="3"/>
    <cellStyle name="Currency" xfId="2" builtinId="4"/>
    <cellStyle name="Hyperlink" xfId="4" builtinId="8"/>
    <cellStyle name="Normal" xfId="0" builtinId="0"/>
    <cellStyle name="Normal 8" xfId="3" xr:uid="{00000000-0005-0000-0000-000003000000}"/>
  </cellStyles>
  <dxfs count="29">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ont>
        <color rgb="FFFF0000"/>
      </font>
    </dxf>
    <dxf>
      <font>
        <color rgb="FFFF0000"/>
      </font>
    </dxf>
    <dxf>
      <fill>
        <patternFill>
          <bgColor rgb="FFFFC000"/>
        </patternFill>
      </fill>
    </dxf>
    <dxf>
      <font>
        <b/>
        <i val="0"/>
        <color theme="0"/>
      </font>
      <fill>
        <patternFill>
          <bgColor rgb="FFFF0000"/>
        </patternFill>
      </fill>
    </dxf>
    <dxf>
      <fill>
        <patternFill>
          <bgColor rgb="FFFFFF00"/>
        </patternFill>
      </fill>
      <border>
        <left style="thin">
          <color auto="1"/>
        </left>
        <right style="thin">
          <color auto="1"/>
        </right>
        <top style="thin">
          <color auto="1"/>
        </top>
        <bottom style="thin">
          <color auto="1"/>
        </bottom>
        <vertical/>
        <horizontal/>
      </border>
    </dxf>
    <dxf>
      <font>
        <color rgb="FFFF0000"/>
      </font>
    </dxf>
    <dxf>
      <font>
        <color rgb="FFFF0000"/>
      </font>
    </dxf>
    <dxf>
      <font>
        <color rgb="FFFF0000"/>
      </font>
    </dxf>
    <dxf>
      <font>
        <color rgb="FFFF0000"/>
      </font>
    </dxf>
    <dxf>
      <fill>
        <patternFill>
          <bgColor rgb="FFFFFF00"/>
        </patternFill>
      </fill>
      <border>
        <right style="thin">
          <color auto="1"/>
        </right>
        <top style="thin">
          <color auto="1"/>
        </top>
        <bottom style="thin">
          <color auto="1"/>
        </bottom>
      </border>
    </dxf>
    <dxf>
      <font>
        <b/>
        <i val="0"/>
        <color theme="0"/>
      </font>
      <fill>
        <patternFill>
          <bgColor rgb="FFFF0000"/>
        </patternFill>
      </fill>
    </dxf>
    <dxf>
      <fill>
        <patternFill>
          <bgColor rgb="FFFFC000"/>
        </patternFill>
      </fill>
      <border>
        <left style="thin">
          <color indexed="64"/>
        </left>
        <right style="thin">
          <color indexed="64"/>
        </right>
        <top style="thin">
          <color indexed="64"/>
        </top>
        <bottom style="thin">
          <color indexed="64"/>
        </bottom>
      </border>
    </dxf>
    <dxf>
      <fill>
        <patternFill>
          <bgColor rgb="FFFF0000"/>
        </patternFill>
      </fill>
    </dxf>
    <dxf>
      <font>
        <b/>
        <i val="0"/>
        <color theme="0"/>
      </font>
      <fill>
        <patternFill>
          <bgColor rgb="FFFF0000"/>
        </patternFill>
      </fill>
    </dxf>
    <dxf>
      <fill>
        <patternFill>
          <bgColor rgb="FFFFC000"/>
        </patternFill>
      </fill>
    </dxf>
    <dxf>
      <fill>
        <patternFill>
          <bgColor theme="1"/>
        </patternFill>
      </fill>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1"/>
        </patternFill>
      </fill>
    </dxf>
    <dxf>
      <fill>
        <patternFill>
          <bgColor theme="1"/>
        </patternFill>
      </fill>
    </dxf>
    <dxf>
      <font>
        <b/>
        <i val="0"/>
        <color theme="1"/>
      </font>
    </dxf>
    <dxf>
      <fill>
        <patternFill>
          <bgColor rgb="FFFFC000"/>
        </patternFill>
      </fill>
    </dxf>
    <dxf>
      <fill>
        <patternFill>
          <bgColor theme="1"/>
        </patternFill>
      </fill>
    </dxf>
    <dxf>
      <fill>
        <patternFill>
          <bgColor rgb="FFFFFF00"/>
        </patternFill>
      </fill>
    </dxf>
    <dxf>
      <fill>
        <patternFill>
          <bgColor rgb="FF92D050"/>
        </patternFill>
      </fill>
    </dxf>
    <dxf>
      <fill>
        <patternFill>
          <bgColor theme="1"/>
        </patternFill>
      </fill>
    </dxf>
  </dxfs>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choolfinancereturns@theeducationpeopl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33292-DA43-41A6-834D-032AB32E7DA4}">
  <sheetPr codeName="Sheet3">
    <tabColor rgb="FF92D050"/>
  </sheetPr>
  <dimension ref="B1:J57"/>
  <sheetViews>
    <sheetView showGridLines="0" showRowColHeaders="0" workbookViewId="0">
      <pane ySplit="4" topLeftCell="A5" activePane="bottomLeft" state="frozen"/>
      <selection pane="bottomLeft"/>
    </sheetView>
  </sheetViews>
  <sheetFormatPr defaultRowHeight="15" x14ac:dyDescent="0.25"/>
  <cols>
    <col min="1" max="1" width="1.90625" customWidth="1"/>
  </cols>
  <sheetData>
    <row r="1" spans="2:10" ht="7.5" customHeight="1" x14ac:dyDescent="0.25"/>
    <row r="2" spans="2:10" ht="17.399999999999999" x14ac:dyDescent="0.3">
      <c r="B2" s="78" t="s">
        <v>365</v>
      </c>
    </row>
    <row r="3" spans="2:10" ht="7.5" customHeight="1" x14ac:dyDescent="0.25"/>
    <row r="4" spans="2:10" ht="15.6" x14ac:dyDescent="0.3">
      <c r="B4" s="85" t="s">
        <v>423</v>
      </c>
      <c r="J4" s="84"/>
    </row>
    <row r="5" spans="2:10" ht="7.5" customHeight="1" x14ac:dyDescent="0.25"/>
    <row r="6" spans="2:10" ht="15.6" x14ac:dyDescent="0.3">
      <c r="B6" s="80" t="s">
        <v>354</v>
      </c>
    </row>
    <row r="7" spans="2:10" ht="7.5" customHeight="1" x14ac:dyDescent="0.25"/>
    <row r="8" spans="2:10" ht="15.6" x14ac:dyDescent="0.3">
      <c r="B8" s="79" t="s">
        <v>355</v>
      </c>
    </row>
    <row r="9" spans="2:10" ht="15.6" x14ac:dyDescent="0.3">
      <c r="B9" s="79" t="s">
        <v>384</v>
      </c>
    </row>
    <row r="10" spans="2:10" ht="15.6" x14ac:dyDescent="0.3">
      <c r="B10" s="79" t="s">
        <v>385</v>
      </c>
    </row>
    <row r="11" spans="2:10" x14ac:dyDescent="0.25">
      <c r="B11" s="83" t="s">
        <v>366</v>
      </c>
      <c r="C11" s="81"/>
      <c r="D11" s="81"/>
      <c r="E11" s="81"/>
      <c r="F11" s="81"/>
      <c r="G11" s="81"/>
    </row>
    <row r="12" spans="2:10" ht="15.6" x14ac:dyDescent="0.3">
      <c r="B12" s="79" t="s">
        <v>369</v>
      </c>
    </row>
    <row r="13" spans="2:10" x14ac:dyDescent="0.25">
      <c r="B13" s="83" t="s">
        <v>368</v>
      </c>
    </row>
    <row r="14" spans="2:10" x14ac:dyDescent="0.25">
      <c r="B14" s="83" t="s">
        <v>386</v>
      </c>
    </row>
    <row r="15" spans="2:10" ht="7.5" customHeight="1" x14ac:dyDescent="0.25">
      <c r="B15" s="79"/>
    </row>
    <row r="16" spans="2:10" ht="15.6" x14ac:dyDescent="0.3">
      <c r="B16" s="80" t="s">
        <v>356</v>
      </c>
    </row>
    <row r="17" spans="2:2" ht="7.5" customHeight="1" x14ac:dyDescent="0.25">
      <c r="B17" s="79"/>
    </row>
    <row r="18" spans="2:2" ht="15.6" x14ac:dyDescent="0.3">
      <c r="B18" s="79" t="s">
        <v>370</v>
      </c>
    </row>
    <row r="19" spans="2:2" ht="15.6" x14ac:dyDescent="0.3">
      <c r="B19" s="79" t="s">
        <v>371</v>
      </c>
    </row>
    <row r="20" spans="2:2" x14ac:dyDescent="0.25">
      <c r="B20" s="79" t="s">
        <v>424</v>
      </c>
    </row>
    <row r="21" spans="2:2" ht="15.6" x14ac:dyDescent="0.3">
      <c r="B21" s="79" t="s">
        <v>372</v>
      </c>
    </row>
    <row r="22" spans="2:2" ht="6" customHeight="1" x14ac:dyDescent="0.25">
      <c r="B22" s="79"/>
    </row>
    <row r="23" spans="2:2" ht="15.6" x14ac:dyDescent="0.3">
      <c r="B23" s="79" t="s">
        <v>387</v>
      </c>
    </row>
    <row r="24" spans="2:2" ht="7.5" customHeight="1" x14ac:dyDescent="0.25">
      <c r="B24" s="79"/>
    </row>
    <row r="25" spans="2:2" ht="15.6" x14ac:dyDescent="0.3">
      <c r="B25" s="79" t="s">
        <v>373</v>
      </c>
    </row>
    <row r="26" spans="2:2" ht="16.5" customHeight="1" x14ac:dyDescent="0.3">
      <c r="B26" s="79" t="s">
        <v>374</v>
      </c>
    </row>
    <row r="27" spans="2:2" ht="7.5" customHeight="1" x14ac:dyDescent="0.25">
      <c r="B27" s="79"/>
    </row>
    <row r="28" spans="2:2" ht="15.6" x14ac:dyDescent="0.3">
      <c r="B28" s="80" t="s">
        <v>357</v>
      </c>
    </row>
    <row r="29" spans="2:2" ht="7.5" customHeight="1" x14ac:dyDescent="0.25"/>
    <row r="30" spans="2:2" x14ac:dyDescent="0.25">
      <c r="B30" s="79" t="s">
        <v>375</v>
      </c>
    </row>
    <row r="31" spans="2:2" ht="7.5" customHeight="1" x14ac:dyDescent="0.25">
      <c r="B31" s="79"/>
    </row>
    <row r="32" spans="2:2" ht="15.6" x14ac:dyDescent="0.3">
      <c r="B32" s="80" t="s">
        <v>358</v>
      </c>
    </row>
    <row r="33" spans="2:2" ht="7.5" customHeight="1" x14ac:dyDescent="0.25"/>
    <row r="34" spans="2:2" ht="15.6" x14ac:dyDescent="0.3">
      <c r="B34" s="79" t="s">
        <v>376</v>
      </c>
    </row>
    <row r="35" spans="2:2" x14ac:dyDescent="0.25">
      <c r="B35" s="79" t="s">
        <v>388</v>
      </c>
    </row>
    <row r="36" spans="2:2" ht="15.6" x14ac:dyDescent="0.3">
      <c r="B36" s="79" t="s">
        <v>359</v>
      </c>
    </row>
    <row r="37" spans="2:2" ht="15.6" x14ac:dyDescent="0.3">
      <c r="B37" s="79" t="s">
        <v>360</v>
      </c>
    </row>
    <row r="38" spans="2:2" ht="15.6" x14ac:dyDescent="0.3">
      <c r="B38" s="79" t="s">
        <v>377</v>
      </c>
    </row>
    <row r="39" spans="2:2" ht="15.6" x14ac:dyDescent="0.3">
      <c r="B39" s="79" t="s">
        <v>361</v>
      </c>
    </row>
    <row r="40" spans="2:2" ht="15.6" x14ac:dyDescent="0.3">
      <c r="B40" s="79" t="s">
        <v>362</v>
      </c>
    </row>
    <row r="41" spans="2:2" ht="7.5" customHeight="1" x14ac:dyDescent="0.25"/>
    <row r="42" spans="2:2" ht="15.6" x14ac:dyDescent="0.3">
      <c r="B42" s="80" t="s">
        <v>363</v>
      </c>
    </row>
    <row r="43" spans="2:2" ht="7.5" customHeight="1" x14ac:dyDescent="0.25"/>
    <row r="44" spans="2:2" x14ac:dyDescent="0.25">
      <c r="B44" s="79" t="s">
        <v>364</v>
      </c>
    </row>
    <row r="45" spans="2:2" ht="15.6" x14ac:dyDescent="0.3">
      <c r="B45" s="79" t="s">
        <v>378</v>
      </c>
    </row>
    <row r="46" spans="2:2" ht="15.6" x14ac:dyDescent="0.3">
      <c r="B46" s="79" t="s">
        <v>379</v>
      </c>
    </row>
    <row r="47" spans="2:2" ht="15.6" x14ac:dyDescent="0.3">
      <c r="B47" s="79" t="s">
        <v>380</v>
      </c>
    </row>
    <row r="48" spans="2:2" ht="7.5" customHeight="1" x14ac:dyDescent="0.25">
      <c r="B48" s="79"/>
    </row>
    <row r="49" spans="2:4" ht="15.6" x14ac:dyDescent="0.3">
      <c r="B49" s="79" t="s">
        <v>381</v>
      </c>
    </row>
    <row r="50" spans="2:4" ht="15.6" x14ac:dyDescent="0.3">
      <c r="B50" s="79" t="s">
        <v>382</v>
      </c>
    </row>
    <row r="51" spans="2:4" ht="7.5" customHeight="1" x14ac:dyDescent="0.25">
      <c r="B51" s="79"/>
    </row>
    <row r="52" spans="2:4" ht="15.6" x14ac:dyDescent="0.3">
      <c r="B52" s="79" t="s">
        <v>383</v>
      </c>
    </row>
    <row r="54" spans="2:4" ht="15.6" x14ac:dyDescent="0.3">
      <c r="B54" s="80" t="s">
        <v>425</v>
      </c>
    </row>
    <row r="55" spans="2:4" x14ac:dyDescent="0.25">
      <c r="B55" t="s">
        <v>427</v>
      </c>
    </row>
    <row r="56" spans="2:4" x14ac:dyDescent="0.25">
      <c r="B56" t="s">
        <v>428</v>
      </c>
    </row>
    <row r="57" spans="2:4" ht="23.4" x14ac:dyDescent="0.45">
      <c r="D57" s="100" t="s">
        <v>426</v>
      </c>
    </row>
  </sheetData>
  <sheetProtection algorithmName="SHA-512" hashValue="T9wPAM8TIIQC/g7DHCxjKXTwgZ6r6Ne1kGPOp4F0YQ/42cv7rwrz2MAnDuNSCL/lBbfSaLCkBybL4zDJA46diw==" saltValue="Or1K09o2IZDbqE2zEL6abw==" spinCount="100000" sheet="1" selectLockedCells="1" selectUnlockedCells="1"/>
  <hyperlinks>
    <hyperlink ref="D57" r:id="rId1" xr:uid="{DA6CC736-0BD6-4DB8-A573-133804B55BA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1EDF9-BDFA-48EE-8FF9-F7C2B394B7E8}">
  <sheetPr codeName="Sheet4">
    <tabColor theme="5" tint="0.39997558519241921"/>
  </sheetPr>
  <dimension ref="B1:R73"/>
  <sheetViews>
    <sheetView showGridLines="0" showRowColHeaders="0" zoomScaleNormal="100" workbookViewId="0">
      <selection activeCell="P30" sqref="P30"/>
    </sheetView>
  </sheetViews>
  <sheetFormatPr defaultRowHeight="15" x14ac:dyDescent="0.25"/>
  <cols>
    <col min="1" max="1" width="1.81640625" customWidth="1"/>
    <col min="3" max="3" width="4" customWidth="1"/>
    <col min="15" max="15" width="14.36328125" customWidth="1"/>
    <col min="17" max="17" width="2" hidden="1" customWidth="1"/>
  </cols>
  <sheetData>
    <row r="1" spans="2:17" ht="7.5" customHeight="1" x14ac:dyDescent="0.25"/>
    <row r="2" spans="2:17" ht="17.399999999999999" x14ac:dyDescent="0.25">
      <c r="B2" s="146" t="s">
        <v>389</v>
      </c>
      <c r="C2" s="146"/>
      <c r="D2" s="146"/>
      <c r="E2" s="146"/>
      <c r="F2" s="146"/>
      <c r="G2" s="146"/>
      <c r="H2" s="146"/>
      <c r="I2" s="146"/>
      <c r="J2" s="146"/>
      <c r="K2" s="146"/>
      <c r="L2" s="146"/>
      <c r="M2" s="146"/>
      <c r="N2" s="146"/>
      <c r="O2" s="146"/>
    </row>
    <row r="3" spans="2:17" ht="17.399999999999999" x14ac:dyDescent="0.25">
      <c r="B3" s="146" t="s">
        <v>390</v>
      </c>
      <c r="C3" s="146"/>
      <c r="D3" s="146"/>
      <c r="E3" s="146"/>
      <c r="F3" s="146"/>
      <c r="G3" s="146"/>
      <c r="H3" s="146"/>
      <c r="I3" s="146"/>
      <c r="J3" s="146"/>
      <c r="K3" s="146"/>
      <c r="L3" s="146"/>
      <c r="M3" s="146"/>
      <c r="N3" s="146"/>
      <c r="O3" s="146"/>
    </row>
    <row r="5" spans="2:17" ht="15.6" x14ac:dyDescent="0.25">
      <c r="B5" s="91" t="s">
        <v>391</v>
      </c>
    </row>
    <row r="6" spans="2:17" ht="7.5" customHeight="1" x14ac:dyDescent="0.25"/>
    <row r="7" spans="2:17" ht="30" x14ac:dyDescent="0.25">
      <c r="B7" s="147" t="s">
        <v>392</v>
      </c>
      <c r="C7" s="147"/>
      <c r="D7" s="147"/>
      <c r="E7" s="147"/>
      <c r="F7" s="147"/>
      <c r="G7" s="147"/>
      <c r="H7" s="147"/>
      <c r="I7" s="147"/>
      <c r="J7" s="147"/>
      <c r="K7" s="147"/>
      <c r="L7" s="147"/>
      <c r="M7" s="147"/>
      <c r="N7" s="147"/>
      <c r="O7" s="147"/>
      <c r="Q7" s="92" t="s">
        <v>337</v>
      </c>
    </row>
    <row r="8" spans="2:17" ht="7.5" customHeight="1" x14ac:dyDescent="0.25">
      <c r="Q8" s="92"/>
    </row>
    <row r="9" spans="2:17" ht="30" x14ac:dyDescent="0.25">
      <c r="B9" s="147" t="s">
        <v>393</v>
      </c>
      <c r="C9" s="147"/>
      <c r="D9" s="147"/>
      <c r="E9" s="147"/>
      <c r="F9" s="147"/>
      <c r="G9" s="147"/>
      <c r="H9" s="147"/>
      <c r="I9" s="147"/>
      <c r="J9" s="147"/>
      <c r="K9" s="147"/>
      <c r="L9" s="147"/>
      <c r="M9" s="147"/>
      <c r="N9" s="147"/>
      <c r="O9" s="147"/>
      <c r="Q9" s="92" t="s">
        <v>337</v>
      </c>
    </row>
    <row r="10" spans="2:17" x14ac:dyDescent="0.25">
      <c r="Q10" s="92"/>
    </row>
    <row r="11" spans="2:17" ht="15.6" x14ac:dyDescent="0.25">
      <c r="B11" s="93" t="s">
        <v>394</v>
      </c>
      <c r="Q11" s="92"/>
    </row>
    <row r="12" spans="2:17" ht="7.5" customHeight="1" x14ac:dyDescent="0.25">
      <c r="B12" s="86"/>
      <c r="Q12" s="92"/>
    </row>
    <row r="13" spans="2:17" ht="45" x14ac:dyDescent="0.25">
      <c r="B13" s="143" t="s">
        <v>395</v>
      </c>
      <c r="C13" s="143"/>
      <c r="D13" s="143"/>
      <c r="E13" s="143"/>
      <c r="F13" s="143"/>
      <c r="G13" s="143"/>
      <c r="H13" s="143"/>
      <c r="I13" s="143"/>
      <c r="J13" s="143"/>
      <c r="K13" s="143"/>
      <c r="L13" s="143"/>
      <c r="M13" s="143"/>
      <c r="N13" s="143"/>
      <c r="O13" s="143"/>
      <c r="Q13" s="92" t="s">
        <v>405</v>
      </c>
    </row>
    <row r="14" spans="2:17" ht="15.6" x14ac:dyDescent="0.25">
      <c r="B14" s="87"/>
    </row>
    <row r="15" spans="2:17" ht="15.6" x14ac:dyDescent="0.25">
      <c r="B15" s="88" t="s">
        <v>396</v>
      </c>
    </row>
    <row r="16" spans="2:17" ht="7.5" customHeight="1" x14ac:dyDescent="0.25">
      <c r="B16" s="86"/>
    </row>
    <row r="17" spans="2:11" x14ac:dyDescent="0.25">
      <c r="B17" s="99" t="s">
        <v>407</v>
      </c>
      <c r="C17" s="94" t="s">
        <v>438</v>
      </c>
    </row>
    <row r="18" spans="2:11" ht="7.5" customHeight="1" x14ac:dyDescent="0.25">
      <c r="B18" s="89"/>
      <c r="C18" s="89"/>
    </row>
    <row r="19" spans="2:11" x14ac:dyDescent="0.25">
      <c r="B19" s="99" t="s">
        <v>407</v>
      </c>
      <c r="C19" s="94" t="s">
        <v>409</v>
      </c>
    </row>
    <row r="20" spans="2:11" ht="7.5" customHeight="1" x14ac:dyDescent="0.25">
      <c r="B20" s="89"/>
      <c r="C20" s="89"/>
    </row>
    <row r="21" spans="2:11" x14ac:dyDescent="0.25">
      <c r="B21" s="99" t="s">
        <v>407</v>
      </c>
      <c r="C21" s="94" t="s">
        <v>439</v>
      </c>
    </row>
    <row r="22" spans="2:11" ht="7.5" customHeight="1" x14ac:dyDescent="0.25">
      <c r="B22" s="89"/>
      <c r="C22" s="89"/>
    </row>
    <row r="23" spans="2:11" x14ac:dyDescent="0.25">
      <c r="B23" s="99" t="s">
        <v>407</v>
      </c>
      <c r="C23" s="94" t="s">
        <v>410</v>
      </c>
    </row>
    <row r="24" spans="2:11" ht="7.5" customHeight="1" x14ac:dyDescent="0.25">
      <c r="B24" s="89"/>
      <c r="C24" s="89"/>
    </row>
    <row r="25" spans="2:11" x14ac:dyDescent="0.25">
      <c r="B25" s="99" t="s">
        <v>407</v>
      </c>
      <c r="C25" s="94" t="s">
        <v>411</v>
      </c>
    </row>
    <row r="26" spans="2:11" ht="30" x14ac:dyDescent="0.25">
      <c r="B26" s="86"/>
      <c r="C26" s="92" t="s">
        <v>436</v>
      </c>
    </row>
    <row r="27" spans="2:11" ht="15.6" x14ac:dyDescent="0.25">
      <c r="B27" s="88" t="s">
        <v>397</v>
      </c>
    </row>
    <row r="28" spans="2:11" ht="7.5" customHeight="1" x14ac:dyDescent="0.25">
      <c r="B28" s="86"/>
    </row>
    <row r="29" spans="2:11" x14ac:dyDescent="0.25">
      <c r="B29" s="99" t="s">
        <v>407</v>
      </c>
      <c r="C29" s="94" t="s">
        <v>412</v>
      </c>
      <c r="K29" s="79"/>
    </row>
    <row r="30" spans="2:11" ht="7.5" customHeight="1" x14ac:dyDescent="0.25">
      <c r="B30" s="89"/>
      <c r="C30" s="94"/>
    </row>
    <row r="31" spans="2:11" x14ac:dyDescent="0.25">
      <c r="B31" s="99" t="s">
        <v>407</v>
      </c>
      <c r="C31" s="94" t="s">
        <v>441</v>
      </c>
    </row>
    <row r="32" spans="2:11" ht="7.5" customHeight="1" x14ac:dyDescent="0.25">
      <c r="B32" s="89"/>
      <c r="C32" s="94"/>
    </row>
    <row r="33" spans="2:17" x14ac:dyDescent="0.25">
      <c r="B33" s="99" t="s">
        <v>407</v>
      </c>
      <c r="C33" s="94" t="s">
        <v>413</v>
      </c>
    </row>
    <row r="34" spans="2:17" ht="7.5" customHeight="1" x14ac:dyDescent="0.25">
      <c r="B34" s="89"/>
      <c r="C34" s="94"/>
    </row>
    <row r="35" spans="2:17" x14ac:dyDescent="0.25">
      <c r="B35" s="99" t="s">
        <v>407</v>
      </c>
      <c r="C35" s="94" t="s">
        <v>445</v>
      </c>
    </row>
    <row r="36" spans="2:17" x14ac:dyDescent="0.25">
      <c r="B36" s="86"/>
    </row>
    <row r="37" spans="2:17" ht="15.6" x14ac:dyDescent="0.25">
      <c r="B37" s="88" t="s">
        <v>398</v>
      </c>
    </row>
    <row r="38" spans="2:17" ht="7.5" customHeight="1" x14ac:dyDescent="0.25">
      <c r="B38" s="86"/>
    </row>
    <row r="39" spans="2:17" ht="33.6" x14ac:dyDescent="0.3">
      <c r="B39" s="99" t="s">
        <v>407</v>
      </c>
      <c r="C39" s="143" t="s">
        <v>415</v>
      </c>
      <c r="D39" s="143"/>
      <c r="E39" s="143"/>
      <c r="F39" s="143"/>
      <c r="G39" s="143"/>
      <c r="H39" s="143"/>
      <c r="I39" s="143"/>
      <c r="J39" s="143"/>
      <c r="K39" s="143"/>
      <c r="L39" s="143"/>
      <c r="M39" s="143"/>
      <c r="N39" s="143"/>
      <c r="O39" s="143"/>
      <c r="Q39" s="96" t="s">
        <v>337</v>
      </c>
    </row>
    <row r="40" spans="2:17" ht="7.5" customHeight="1" x14ac:dyDescent="0.25">
      <c r="B40" s="89"/>
      <c r="C40" s="89"/>
    </row>
    <row r="41" spans="2:17" ht="50.4" x14ac:dyDescent="0.3">
      <c r="B41" s="99" t="s">
        <v>407</v>
      </c>
      <c r="C41" s="143" t="s">
        <v>417</v>
      </c>
      <c r="D41" s="143"/>
      <c r="E41" s="143"/>
      <c r="F41" s="143"/>
      <c r="G41" s="143"/>
      <c r="H41" s="143"/>
      <c r="I41" s="143"/>
      <c r="J41" s="143"/>
      <c r="K41" s="143"/>
      <c r="L41" s="143"/>
      <c r="M41" s="143"/>
      <c r="N41" s="143"/>
      <c r="O41" s="143"/>
      <c r="Q41" s="96" t="s">
        <v>405</v>
      </c>
    </row>
    <row r="42" spans="2:17" ht="7.5" customHeight="1" x14ac:dyDescent="0.25">
      <c r="B42" s="89" t="s">
        <v>399</v>
      </c>
      <c r="C42" s="94" t="s">
        <v>399</v>
      </c>
    </row>
    <row r="43" spans="2:17" ht="17.399999999999999" x14ac:dyDescent="0.3">
      <c r="B43" s="99" t="s">
        <v>407</v>
      </c>
      <c r="C43" s="144" t="s">
        <v>416</v>
      </c>
      <c r="D43" s="144"/>
      <c r="E43" s="144"/>
      <c r="F43" s="144"/>
      <c r="G43" s="144"/>
      <c r="H43" s="144"/>
      <c r="I43" s="144"/>
      <c r="J43" s="144"/>
      <c r="K43" s="144"/>
      <c r="L43" s="144"/>
      <c r="M43" s="144"/>
      <c r="N43" s="144"/>
      <c r="O43" s="144"/>
      <c r="Q43" s="95" t="s">
        <v>305</v>
      </c>
    </row>
    <row r="44" spans="2:17" ht="7.5" customHeight="1" x14ac:dyDescent="0.25">
      <c r="B44" s="89"/>
      <c r="C44" s="94"/>
    </row>
    <row r="45" spans="2:17" ht="50.4" x14ac:dyDescent="0.3">
      <c r="B45" s="99" t="s">
        <v>407</v>
      </c>
      <c r="C45" s="143" t="s">
        <v>437</v>
      </c>
      <c r="D45" s="143"/>
      <c r="E45" s="143"/>
      <c r="F45" s="143"/>
      <c r="G45" s="143"/>
      <c r="H45" s="143"/>
      <c r="I45" s="143"/>
      <c r="J45" s="143"/>
      <c r="K45" s="143"/>
      <c r="L45" s="143"/>
      <c r="M45" s="143"/>
      <c r="N45" s="143"/>
      <c r="O45" s="143"/>
      <c r="Q45" s="96" t="s">
        <v>405</v>
      </c>
    </row>
    <row r="46" spans="2:17" ht="7.5" customHeight="1" x14ac:dyDescent="0.25">
      <c r="B46" s="89"/>
      <c r="C46" s="94"/>
    </row>
    <row r="47" spans="2:17" x14ac:dyDescent="0.25">
      <c r="B47" s="99" t="s">
        <v>407</v>
      </c>
      <c r="C47" s="94" t="s">
        <v>414</v>
      </c>
    </row>
    <row r="48" spans="2:17" ht="7.5" customHeight="1" x14ac:dyDescent="0.25">
      <c r="B48" s="89"/>
    </row>
    <row r="49" spans="2:17" ht="50.4" x14ac:dyDescent="0.3">
      <c r="D49" s="143" t="s">
        <v>400</v>
      </c>
      <c r="E49" s="143"/>
      <c r="F49" s="143"/>
      <c r="G49" s="143"/>
      <c r="H49" s="143"/>
      <c r="I49" s="143"/>
      <c r="J49" s="143"/>
      <c r="K49" s="143"/>
      <c r="L49" s="143"/>
      <c r="M49" s="143"/>
      <c r="N49" s="143"/>
      <c r="O49" s="143"/>
      <c r="Q49" s="96" t="s">
        <v>405</v>
      </c>
    </row>
    <row r="50" spans="2:17" ht="7.5" customHeight="1" x14ac:dyDescent="0.25">
      <c r="B50" s="90"/>
    </row>
    <row r="51" spans="2:17" ht="50.4" x14ac:dyDescent="0.3">
      <c r="D51" s="143" t="s">
        <v>401</v>
      </c>
      <c r="E51" s="143"/>
      <c r="F51" s="143"/>
      <c r="G51" s="143"/>
      <c r="H51" s="143"/>
      <c r="I51" s="143"/>
      <c r="J51" s="143"/>
      <c r="K51" s="143"/>
      <c r="L51" s="143"/>
      <c r="M51" s="143"/>
      <c r="N51" s="143"/>
      <c r="O51" s="143"/>
      <c r="Q51" s="96" t="s">
        <v>405</v>
      </c>
    </row>
    <row r="52" spans="2:17" ht="7.5" customHeight="1" x14ac:dyDescent="0.25">
      <c r="B52" s="90"/>
    </row>
    <row r="53" spans="2:17" ht="33.6" x14ac:dyDescent="0.3">
      <c r="B53" s="99" t="s">
        <v>407</v>
      </c>
      <c r="C53" s="143" t="s">
        <v>418</v>
      </c>
      <c r="D53" s="143"/>
      <c r="E53" s="143"/>
      <c r="F53" s="143"/>
      <c r="G53" s="143"/>
      <c r="H53" s="143"/>
      <c r="I53" s="143"/>
      <c r="J53" s="143"/>
      <c r="K53" s="143"/>
      <c r="L53" s="143"/>
      <c r="M53" s="143"/>
      <c r="N53" s="143"/>
      <c r="O53" s="143"/>
      <c r="Q53" s="96" t="s">
        <v>337</v>
      </c>
    </row>
    <row r="54" spans="2:17" x14ac:dyDescent="0.25">
      <c r="B54" s="86"/>
    </row>
    <row r="55" spans="2:17" ht="15.6" x14ac:dyDescent="0.25">
      <c r="B55" s="88" t="s">
        <v>402</v>
      </c>
    </row>
    <row r="56" spans="2:17" ht="7.5" customHeight="1" x14ac:dyDescent="0.25">
      <c r="B56" s="86"/>
    </row>
    <row r="57" spans="2:17" ht="67.2" x14ac:dyDescent="0.3">
      <c r="B57" s="143" t="s">
        <v>403</v>
      </c>
      <c r="C57" s="143"/>
      <c r="D57" s="143"/>
      <c r="E57" s="143"/>
      <c r="F57" s="143"/>
      <c r="G57" s="143"/>
      <c r="H57" s="143"/>
      <c r="I57" s="143"/>
      <c r="J57" s="143"/>
      <c r="K57" s="143"/>
      <c r="L57" s="143"/>
      <c r="M57" s="143"/>
      <c r="N57" s="143"/>
      <c r="O57" s="143"/>
      <c r="Q57" s="96" t="s">
        <v>406</v>
      </c>
    </row>
    <row r="58" spans="2:17" ht="7.5" customHeight="1" x14ac:dyDescent="0.25">
      <c r="B58" s="89"/>
    </row>
    <row r="59" spans="2:17" ht="50.4" x14ac:dyDescent="0.3">
      <c r="B59" s="99" t="s">
        <v>407</v>
      </c>
      <c r="C59" s="145" t="s">
        <v>408</v>
      </c>
      <c r="D59" s="143"/>
      <c r="E59" s="143"/>
      <c r="F59" s="143"/>
      <c r="G59" s="143"/>
      <c r="H59" s="143"/>
      <c r="I59" s="143"/>
      <c r="J59" s="143"/>
      <c r="K59" s="143"/>
      <c r="L59" s="143"/>
      <c r="M59" s="143"/>
      <c r="N59" s="143"/>
      <c r="O59" s="143"/>
      <c r="Q59" s="96" t="s">
        <v>405</v>
      </c>
    </row>
    <row r="60" spans="2:17" ht="7.5" customHeight="1" x14ac:dyDescent="0.25">
      <c r="B60" s="90"/>
    </row>
    <row r="61" spans="2:17" ht="33.6" x14ac:dyDescent="0.3">
      <c r="B61" s="99" t="s">
        <v>407</v>
      </c>
      <c r="C61" s="143" t="s">
        <v>421</v>
      </c>
      <c r="D61" s="143"/>
      <c r="E61" s="143"/>
      <c r="F61" s="143"/>
      <c r="G61" s="143"/>
      <c r="H61" s="143"/>
      <c r="I61" s="143"/>
      <c r="J61" s="143"/>
      <c r="K61" s="143"/>
      <c r="L61" s="143"/>
      <c r="M61" s="143"/>
      <c r="N61" s="143"/>
      <c r="O61" s="143"/>
      <c r="Q61" s="96" t="s">
        <v>337</v>
      </c>
    </row>
    <row r="62" spans="2:17" ht="7.5" customHeight="1" x14ac:dyDescent="0.25">
      <c r="B62" s="89"/>
    </row>
    <row r="63" spans="2:17" ht="50.4" x14ac:dyDescent="0.3">
      <c r="B63" s="99" t="s">
        <v>407</v>
      </c>
      <c r="C63" s="143" t="s">
        <v>440</v>
      </c>
      <c r="D63" s="143"/>
      <c r="E63" s="143"/>
      <c r="F63" s="143"/>
      <c r="G63" s="143"/>
      <c r="H63" s="143"/>
      <c r="I63" s="143"/>
      <c r="J63" s="143"/>
      <c r="K63" s="143"/>
      <c r="L63" s="143"/>
      <c r="M63" s="143"/>
      <c r="N63" s="143"/>
      <c r="O63" s="143"/>
      <c r="Q63" s="96" t="s">
        <v>405</v>
      </c>
    </row>
    <row r="64" spans="2:17" ht="7.5" customHeight="1" x14ac:dyDescent="0.25">
      <c r="B64" s="97"/>
    </row>
    <row r="65" spans="2:18" ht="67.2" x14ac:dyDescent="0.3">
      <c r="B65" s="99" t="s">
        <v>407</v>
      </c>
      <c r="C65" s="143" t="s">
        <v>419</v>
      </c>
      <c r="D65" s="143"/>
      <c r="E65" s="143"/>
      <c r="F65" s="143"/>
      <c r="G65" s="143"/>
      <c r="H65" s="143"/>
      <c r="I65" s="143"/>
      <c r="J65" s="143"/>
      <c r="K65" s="143"/>
      <c r="L65" s="143"/>
      <c r="M65" s="143"/>
      <c r="N65" s="143"/>
      <c r="O65" s="143"/>
      <c r="Q65" s="96" t="s">
        <v>406</v>
      </c>
    </row>
    <row r="66" spans="2:18" ht="7.5" customHeight="1" x14ac:dyDescent="0.25">
      <c r="B66" s="89"/>
    </row>
    <row r="67" spans="2:18" ht="50.4" x14ac:dyDescent="0.3">
      <c r="B67" s="99"/>
      <c r="C67" s="143" t="s">
        <v>404</v>
      </c>
      <c r="D67" s="143"/>
      <c r="E67" s="143"/>
      <c r="F67" s="143"/>
      <c r="G67" s="143"/>
      <c r="H67" s="143"/>
      <c r="I67" s="143"/>
      <c r="J67" s="143"/>
      <c r="K67" s="143"/>
      <c r="L67" s="143"/>
      <c r="M67" s="143"/>
      <c r="N67" s="143"/>
      <c r="O67" s="143"/>
      <c r="Q67" s="96" t="s">
        <v>405</v>
      </c>
    </row>
    <row r="68" spans="2:18" ht="7.5" customHeight="1" x14ac:dyDescent="0.25">
      <c r="B68" s="89"/>
    </row>
    <row r="69" spans="2:18" ht="33.6" x14ac:dyDescent="0.3">
      <c r="B69" s="99"/>
      <c r="C69" s="143" t="s">
        <v>420</v>
      </c>
      <c r="D69" s="143"/>
      <c r="E69" s="143"/>
      <c r="F69" s="143"/>
      <c r="G69" s="143"/>
      <c r="H69" s="143"/>
      <c r="I69" s="143"/>
      <c r="J69" s="143"/>
      <c r="K69" s="143"/>
      <c r="L69" s="143"/>
      <c r="M69" s="143"/>
      <c r="N69" s="143"/>
      <c r="O69" s="143"/>
      <c r="Q69" s="96" t="s">
        <v>337</v>
      </c>
    </row>
    <row r="70" spans="2:18" x14ac:dyDescent="0.25">
      <c r="B70" s="89"/>
    </row>
    <row r="71" spans="2:18" ht="33.6" x14ac:dyDescent="0.3">
      <c r="B71" s="98"/>
      <c r="C71" s="142"/>
      <c r="D71" s="142"/>
      <c r="E71" s="142"/>
      <c r="F71" s="142"/>
      <c r="G71" s="142"/>
      <c r="H71" s="142"/>
      <c r="I71" s="142"/>
      <c r="J71" s="142"/>
      <c r="K71" s="142"/>
      <c r="L71" s="142"/>
      <c r="M71" s="142"/>
      <c r="N71" s="142"/>
      <c r="O71" s="142"/>
      <c r="Q71" s="96" t="s">
        <v>337</v>
      </c>
      <c r="R71" s="79"/>
    </row>
    <row r="72" spans="2:18" x14ac:dyDescent="0.25">
      <c r="B72" s="86"/>
    </row>
    <row r="73" spans="2:18" ht="33.6" x14ac:dyDescent="0.3">
      <c r="B73" s="99" t="s">
        <v>407</v>
      </c>
      <c r="C73" s="143" t="s">
        <v>422</v>
      </c>
      <c r="D73" s="143"/>
      <c r="E73" s="143"/>
      <c r="F73" s="143"/>
      <c r="G73" s="143"/>
      <c r="H73" s="143"/>
      <c r="I73" s="143"/>
      <c r="J73" s="143"/>
      <c r="K73" s="143"/>
      <c r="L73" s="143"/>
      <c r="M73" s="143"/>
      <c r="N73" s="143"/>
      <c r="O73" s="143"/>
      <c r="Q73" s="96" t="s">
        <v>337</v>
      </c>
    </row>
  </sheetData>
  <sheetProtection selectLockedCells="1" selectUnlockedCells="1"/>
  <mergeCells count="21">
    <mergeCell ref="C39:O39"/>
    <mergeCell ref="B2:O2"/>
    <mergeCell ref="B3:O3"/>
    <mergeCell ref="B7:O7"/>
    <mergeCell ref="B9:O9"/>
    <mergeCell ref="B13:O13"/>
    <mergeCell ref="C71:O71"/>
    <mergeCell ref="C73:O73"/>
    <mergeCell ref="C41:O41"/>
    <mergeCell ref="C43:O43"/>
    <mergeCell ref="C45:O45"/>
    <mergeCell ref="C53:O53"/>
    <mergeCell ref="C67:O67"/>
    <mergeCell ref="C69:O69"/>
    <mergeCell ref="C65:O65"/>
    <mergeCell ref="C63:O63"/>
    <mergeCell ref="D49:O49"/>
    <mergeCell ref="D51:O51"/>
    <mergeCell ref="B57:O57"/>
    <mergeCell ref="C61:O61"/>
    <mergeCell ref="C59:O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Q72"/>
  <sheetViews>
    <sheetView showGridLines="0" tabSelected="1" zoomScale="70" zoomScaleNormal="70" workbookViewId="0">
      <pane ySplit="3" topLeftCell="A4" activePane="bottomLeft" state="frozen"/>
      <selection pane="bottomLeft" activeCell="E1" sqref="E1"/>
    </sheetView>
  </sheetViews>
  <sheetFormatPr defaultColWidth="8.90625" defaultRowHeight="15" x14ac:dyDescent="0.25"/>
  <cols>
    <col min="1" max="1" width="18.81640625" customWidth="1"/>
    <col min="2" max="2" width="83.54296875" customWidth="1"/>
    <col min="3" max="3" width="9.81640625" customWidth="1"/>
    <col min="4" max="4" width="5.54296875" customWidth="1"/>
    <col min="5" max="5" width="22.54296875" customWidth="1"/>
    <col min="6" max="6" width="14.81640625" customWidth="1"/>
    <col min="7" max="7" width="23.54296875" customWidth="1"/>
    <col min="9" max="9" width="12.90625" customWidth="1"/>
    <col min="10" max="10" width="11.54296875" customWidth="1"/>
    <col min="12" max="12" width="2.54296875" hidden="1" customWidth="1"/>
    <col min="13" max="13" width="9.90625" hidden="1" customWidth="1"/>
    <col min="14" max="15" width="8.90625" hidden="1" customWidth="1"/>
    <col min="16" max="17" width="9.90625" hidden="1" customWidth="1"/>
  </cols>
  <sheetData>
    <row r="1" spans="1:17" ht="35.4" thickBot="1" x14ac:dyDescent="0.35">
      <c r="A1" s="33" t="s">
        <v>442</v>
      </c>
      <c r="B1" s="34" t="s">
        <v>443</v>
      </c>
      <c r="C1" s="190" t="s">
        <v>5</v>
      </c>
      <c r="D1" s="191"/>
      <c r="E1" s="1"/>
      <c r="F1" s="101" t="e">
        <f>VLOOKUP(E1,Lookup!A:D,4,0)</f>
        <v>#N/A</v>
      </c>
      <c r="H1" s="101">
        <f>IF(E1=0,0,1)</f>
        <v>0</v>
      </c>
      <c r="L1" s="102" t="s">
        <v>337</v>
      </c>
      <c r="M1" s="133">
        <v>45382</v>
      </c>
      <c r="N1">
        <f>DAY(M1)</f>
        <v>31</v>
      </c>
      <c r="O1">
        <f>MONTH(M1)</f>
        <v>3</v>
      </c>
      <c r="P1" s="133">
        <f ca="1">DATE(O3,O1,N1)</f>
        <v>46112</v>
      </c>
      <c r="Q1" s="133">
        <f ca="1">DATE(N3,O2,N2)</f>
        <v>45748</v>
      </c>
    </row>
    <row r="2" spans="1:17" ht="30" customHeight="1" x14ac:dyDescent="0.3">
      <c r="A2" s="35" t="s">
        <v>0</v>
      </c>
      <c r="B2" s="193" t="str">
        <f>IFERROR(VLOOKUP(E1,Lookup!A:N,2,FALSE),"")</f>
        <v/>
      </c>
      <c r="C2" s="193"/>
      <c r="D2" s="193"/>
      <c r="E2" s="36"/>
      <c r="F2" s="154" t="str">
        <f>IF(Lookup!R7&lt;&gt;"","Links have not been removed","")</f>
        <v/>
      </c>
      <c r="G2" s="154"/>
      <c r="H2" s="154"/>
      <c r="L2" s="102"/>
      <c r="M2" s="133">
        <v>45383</v>
      </c>
      <c r="N2">
        <f>DAY(M2)</f>
        <v>1</v>
      </c>
      <c r="O2">
        <f>MONTH(M2)</f>
        <v>4</v>
      </c>
    </row>
    <row r="3" spans="1:17" ht="30" customHeight="1" thickBot="1" x14ac:dyDescent="0.35">
      <c r="A3" s="192" t="s">
        <v>322</v>
      </c>
      <c r="B3" s="192"/>
      <c r="C3" s="192"/>
      <c r="D3" s="192"/>
      <c r="E3" s="192"/>
      <c r="L3" s="102"/>
      <c r="M3" s="133">
        <f ca="1">TODAY()</f>
        <v>45736</v>
      </c>
      <c r="N3">
        <f ca="1">YEAR(TODAY())</f>
        <v>2025</v>
      </c>
      <c r="O3">
        <f ca="1">YEAR(TODAY())+1</f>
        <v>2026</v>
      </c>
    </row>
    <row r="4" spans="1:17" ht="30" customHeight="1" x14ac:dyDescent="0.3">
      <c r="A4" s="197" t="s">
        <v>341</v>
      </c>
      <c r="B4" s="198"/>
      <c r="C4" s="198"/>
      <c r="D4" s="37" t="s">
        <v>4</v>
      </c>
      <c r="E4" s="38" t="s">
        <v>323</v>
      </c>
      <c r="L4" s="102"/>
    </row>
    <row r="5" spans="1:17" ht="39" customHeight="1" x14ac:dyDescent="0.35">
      <c r="A5" s="168" t="s">
        <v>339</v>
      </c>
      <c r="B5" s="169"/>
      <c r="C5" s="170"/>
      <c r="D5" s="72" t="s">
        <v>330</v>
      </c>
      <c r="E5" s="68"/>
      <c r="F5" s="184" t="str">
        <f>IF(E5&gt;0,"You are showing a Year End Revenue Deficit","")</f>
        <v/>
      </c>
      <c r="G5" s="185"/>
      <c r="L5" s="102" t="s">
        <v>337</v>
      </c>
    </row>
    <row r="6" spans="1:17" ht="34.799999999999997" x14ac:dyDescent="0.3">
      <c r="A6" s="201" t="str">
        <f>IFERROR("Year end forecast figure as at nine month monitoring return"&amp;IF(OR(E1="",E5=""),"",IF(E6&lt;0," was a surplus"," was a deficit")),"")</f>
        <v>Year end forecast figure as at nine month monitoring return</v>
      </c>
      <c r="B6" s="199"/>
      <c r="C6" s="200"/>
      <c r="D6" s="39" t="s">
        <v>303</v>
      </c>
      <c r="E6" s="40" t="str">
        <f>IFERROR(ROUND(VLOOKUP(E1,Lookup!A:N,14,FALSE),2),"")</f>
        <v/>
      </c>
      <c r="L6" s="102" t="s">
        <v>337</v>
      </c>
    </row>
    <row r="7" spans="1:17" ht="39.9" customHeight="1" x14ac:dyDescent="0.3">
      <c r="A7" s="165" t="s">
        <v>332</v>
      </c>
      <c r="B7" s="199"/>
      <c r="C7" s="200"/>
      <c r="D7" s="41" t="s">
        <v>304</v>
      </c>
      <c r="E7" s="40" t="str">
        <f>IFERROR(ROUND((E5-E6),2),"")</f>
        <v/>
      </c>
      <c r="H7" s="3"/>
      <c r="I7" s="103"/>
      <c r="L7" s="102" t="s">
        <v>337</v>
      </c>
    </row>
    <row r="8" spans="1:17" ht="21" customHeight="1" x14ac:dyDescent="0.25">
      <c r="A8" s="202" t="str">
        <f>IF(E5="","",IFERROR(IF(VLOOKUP(E1,Lookup!A:Q,17,FALSE)="Within Tolerance","The figure in Row C is less than £10,000 or 15% of the figure is Row A therefore NO explanation is required below","The figure in Row C of £"&amp;IF(E7&gt;0,TEXT(E7,"#,##0.00"),TEXT(-E7,"#,##0.00"))&amp;" is more than we would expect, please enter a brief description below to explain the reason."),""))</f>
        <v/>
      </c>
      <c r="B8" s="203"/>
      <c r="C8" s="203"/>
      <c r="D8" s="203"/>
      <c r="E8" s="204"/>
      <c r="H8" s="79"/>
    </row>
    <row r="9" spans="1:17" ht="60.75" customHeight="1" thickBot="1" x14ac:dyDescent="0.3">
      <c r="A9" s="194"/>
      <c r="B9" s="195"/>
      <c r="C9" s="195"/>
      <c r="D9" s="195"/>
      <c r="E9" s="196"/>
      <c r="H9" s="104"/>
    </row>
    <row r="10" spans="1:17" ht="3" customHeight="1" thickBot="1" x14ac:dyDescent="0.3">
      <c r="A10" s="42"/>
      <c r="B10" s="43"/>
      <c r="C10" s="43"/>
      <c r="D10" s="43"/>
      <c r="E10" s="44"/>
    </row>
    <row r="11" spans="1:17" ht="34.799999999999997" x14ac:dyDescent="0.3">
      <c r="A11" s="177" t="s">
        <v>342</v>
      </c>
      <c r="B11" s="178"/>
      <c r="C11" s="179"/>
      <c r="D11" s="45" t="s">
        <v>4</v>
      </c>
      <c r="E11" s="46" t="s">
        <v>323</v>
      </c>
      <c r="L11" s="102" t="s">
        <v>337</v>
      </c>
    </row>
    <row r="12" spans="1:17" ht="34.799999999999997" x14ac:dyDescent="0.3">
      <c r="A12" s="176" t="s">
        <v>338</v>
      </c>
      <c r="B12" s="176"/>
      <c r="C12" s="176"/>
      <c r="D12" s="72" t="s">
        <v>330</v>
      </c>
      <c r="E12" s="48">
        <f>E5</f>
        <v>0</v>
      </c>
      <c r="L12" s="102" t="s">
        <v>337</v>
      </c>
    </row>
    <row r="13" spans="1:17" ht="39.9" customHeight="1" x14ac:dyDescent="0.3">
      <c r="A13" s="180" t="str">
        <f>IFERROR(IF(AND(E1&gt;1100,E1&lt;2000),"Please enter your total income for 2023-24 in cell F13 highlighted in yellow, your BCM figure is 12% of your income",("Allowable Balance Control Mechanism (BCM)  (March Statement of account totals for (I01+I02+I03+I05+I18) * "&amp;TEXT(VLOOKUP(E1,Lookup!A:E,5,FALSE),"##.##%")&amp;")")),"Allowable Balance Control Mechanism (BCM)")</f>
        <v>Allowable Balance Control Mechanism (BCM)</v>
      </c>
      <c r="B13" s="181"/>
      <c r="C13" s="181"/>
      <c r="D13" s="47" t="s">
        <v>305</v>
      </c>
      <c r="E13" s="48" t="str">
        <f>IFERROR(IF(AND(E1&gt;1100,E1&lt;2000),F13*12%,ROUND(VLOOKUP(E1,Lookup!A:N,3,FALSE),2)),"")</f>
        <v/>
      </c>
      <c r="F13" s="134"/>
      <c r="G13" s="132"/>
      <c r="H13" s="105"/>
      <c r="L13" s="102" t="s">
        <v>337</v>
      </c>
    </row>
    <row r="14" spans="1:17" ht="39.9" customHeight="1" x14ac:dyDescent="0.3">
      <c r="A14" s="182" t="str">
        <f>IF(E14&gt;0,"You have exceeded your allowable Balance Control Mechanism figure (BCM)","You are within your allowable Balance Control Mechanism figure (BCM)")</f>
        <v>You are within your allowable Balance Control Mechanism figure (BCM)</v>
      </c>
      <c r="B14" s="183"/>
      <c r="C14" s="183"/>
      <c r="D14" s="72" t="s">
        <v>306</v>
      </c>
      <c r="E14" s="49">
        <f>IFERROR(ROUND(IF(E5+E13&gt;0,0,-(E5+E13)),2),0)</f>
        <v>0</v>
      </c>
      <c r="L14" s="102" t="s">
        <v>337</v>
      </c>
    </row>
    <row r="15" spans="1:17" ht="34.799999999999997" x14ac:dyDescent="0.3">
      <c r="A15" s="173" t="str">
        <f>IF(E14=0,"Section 2.1 - This section is not applicable as you are not over your BCM allowable.","Section 2.1  BCM breakdown - complete rows F to I (total must not be greater than the amount you are over your BCM by ("&amp;TEXT(ROUND(E14,2),"£#,###.00")&amp;"))")</f>
        <v>Section 2.1 - This section is not applicable as you are not over your BCM allowable.</v>
      </c>
      <c r="B15" s="174"/>
      <c r="C15" s="174"/>
      <c r="D15" s="174"/>
      <c r="E15" s="175"/>
      <c r="L15" s="102" t="s">
        <v>337</v>
      </c>
    </row>
    <row r="16" spans="1:17" ht="34.799999999999997" x14ac:dyDescent="0.3">
      <c r="A16" s="165" t="s">
        <v>446</v>
      </c>
      <c r="B16" s="166"/>
      <c r="C16" s="167"/>
      <c r="D16" s="50" t="s">
        <v>309</v>
      </c>
      <c r="E16" s="22"/>
      <c r="F16" s="164" t="str">
        <f>IF(AND(E16&lt;&gt;0,SUM(C33:C36)=0),"Details are required in Section 4.1 BCM breakdown below","")</f>
        <v/>
      </c>
      <c r="G16" s="164"/>
      <c r="H16" s="163" t="str">
        <f>IFERROR(IF(ROUND((SUM(E16:E19)-E14),2)=0,"",IF(ROUND(E14-SUM(E16:E19),2)&lt;0,"The current total of Rows F to I is more than the amount over your BCM by "&amp;TEXT(ROUND((E14-SUM(E16:E19)),2),"£#,###.00")&amp;CHAR(10)&amp;CHAR(10)&amp;"You need to ensure that this total is equal to the amount over BCM (Row E).","The current total of Rows F to I is less than the amount over your BCM by "&amp;TEXT(ROUND((E14-SUM(E16:E19)),2),"£#,###.00")&amp;CHAR(10)&amp;CHAR(10)&amp;"This amount may be subject to clawback (Row J).")),"")</f>
        <v/>
      </c>
      <c r="I16" s="163"/>
      <c r="J16" s="163"/>
      <c r="L16" s="102" t="s">
        <v>337</v>
      </c>
    </row>
    <row r="17" spans="1:12" ht="34.799999999999997" x14ac:dyDescent="0.3">
      <c r="A17" s="165" t="s">
        <v>347</v>
      </c>
      <c r="B17" s="166"/>
      <c r="C17" s="167"/>
      <c r="D17" s="51" t="s">
        <v>308</v>
      </c>
      <c r="E17" s="24"/>
      <c r="F17" s="164" t="str">
        <f>IF(AND(E17&lt;&gt;0,SUM(C39:C42)=0),"Details are required in Section 4.2 below","")</f>
        <v/>
      </c>
      <c r="G17" s="164"/>
      <c r="H17" s="163"/>
      <c r="I17" s="163"/>
      <c r="J17" s="163"/>
      <c r="L17" s="102" t="s">
        <v>337</v>
      </c>
    </row>
    <row r="18" spans="1:12" ht="34.799999999999997" x14ac:dyDescent="0.3">
      <c r="A18" s="165" t="s">
        <v>343</v>
      </c>
      <c r="B18" s="166"/>
      <c r="C18" s="167"/>
      <c r="D18" s="52" t="s">
        <v>307</v>
      </c>
      <c r="E18" s="11"/>
      <c r="F18" s="164" t="str">
        <f>IF(AND(E18&lt;&gt;0,SUM(C45:C48)=0),"Details are required in Section 4.3 below","")</f>
        <v/>
      </c>
      <c r="G18" s="164"/>
      <c r="H18" s="163"/>
      <c r="I18" s="163"/>
      <c r="J18" s="163"/>
      <c r="L18" s="102" t="s">
        <v>337</v>
      </c>
    </row>
    <row r="19" spans="1:12" ht="35.4" thickBot="1" x14ac:dyDescent="0.35">
      <c r="A19" s="168" t="s">
        <v>344</v>
      </c>
      <c r="B19" s="169"/>
      <c r="C19" s="170"/>
      <c r="D19" s="74" t="s">
        <v>310</v>
      </c>
      <c r="E19" s="29"/>
      <c r="F19" s="164" t="str">
        <f>IF(AND(E19&lt;&gt;0,SUM(C50:C53)=0),"Details are required in Section 4.4 below","")</f>
        <v/>
      </c>
      <c r="G19" s="164"/>
      <c r="H19" s="163"/>
      <c r="I19" s="163"/>
      <c r="J19" s="163"/>
      <c r="L19" s="102" t="s">
        <v>337</v>
      </c>
    </row>
    <row r="20" spans="1:12" ht="36" customHeight="1" thickBot="1" x14ac:dyDescent="0.35">
      <c r="A20" s="171" t="s">
        <v>351</v>
      </c>
      <c r="B20" s="172"/>
      <c r="C20" s="172"/>
      <c r="D20" s="75" t="s">
        <v>311</v>
      </c>
      <c r="E20" s="76">
        <f>ROUND(SUM(E16:E19),2)</f>
        <v>0</v>
      </c>
      <c r="F20" s="106"/>
      <c r="G20" s="107"/>
      <c r="H20" s="108"/>
      <c r="I20" s="108"/>
      <c r="J20" s="108"/>
      <c r="L20" s="102" t="s">
        <v>337</v>
      </c>
    </row>
    <row r="21" spans="1:12" ht="36" customHeight="1" x14ac:dyDescent="0.3">
      <c r="A21" s="171" t="s">
        <v>350</v>
      </c>
      <c r="B21" s="172"/>
      <c r="C21" s="172"/>
      <c r="D21" s="75" t="s">
        <v>305</v>
      </c>
      <c r="E21" s="76" t="e">
        <f>ROUND(E13,2)</f>
        <v>#VALUE!</v>
      </c>
      <c r="F21" s="106"/>
      <c r="G21" s="107"/>
      <c r="H21" s="108"/>
      <c r="I21" s="108"/>
      <c r="J21" s="108"/>
      <c r="L21" s="102" t="s">
        <v>337</v>
      </c>
    </row>
    <row r="22" spans="1:12" ht="35.4" thickBot="1" x14ac:dyDescent="0.35">
      <c r="A22" s="160" t="s">
        <v>429</v>
      </c>
      <c r="B22" s="161"/>
      <c r="C22" s="162"/>
      <c r="D22" s="77" t="s">
        <v>330</v>
      </c>
      <c r="E22" s="54" t="e">
        <f>ROUND(SUM(E20:E21),2)</f>
        <v>#VALUE!</v>
      </c>
      <c r="F22" s="188" t="str">
        <f>IF(E14=0,"",IF(ROUND(SUM(E16:E19)+E21+E5,2)&lt;0,"You have "&amp;TEXT(ROUND((SUM(E16:E19)+E21+E5)*-1,2),"£#,###.00")&amp;" that may be subject to clawback",IF(ROUND(SUM(E16:E19)+E21+E5,2)&gt;0,"You have allocated "&amp;TEXT(ROUND((E5+SUM(E16:E21)),2),"£#,###.00")&amp;" too much","")))</f>
        <v/>
      </c>
      <c r="G22" s="189"/>
      <c r="H22" s="189"/>
      <c r="I22" s="189"/>
      <c r="J22" s="109"/>
      <c r="L22" s="102" t="s">
        <v>337</v>
      </c>
    </row>
    <row r="23" spans="1:12" ht="34.799999999999997" x14ac:dyDescent="0.3">
      <c r="A23" s="157" t="s">
        <v>353</v>
      </c>
      <c r="B23" s="158"/>
      <c r="C23" s="158"/>
      <c r="D23" s="158"/>
      <c r="E23" s="159"/>
      <c r="F23" s="110"/>
      <c r="G23" s="111"/>
      <c r="H23" s="112"/>
      <c r="I23" s="112"/>
      <c r="J23" s="112"/>
      <c r="L23" s="102" t="s">
        <v>337</v>
      </c>
    </row>
    <row r="24" spans="1:12" ht="39.9" customHeight="1" x14ac:dyDescent="0.3">
      <c r="A24" s="155" t="s">
        <v>340</v>
      </c>
      <c r="B24" s="156"/>
      <c r="C24" s="47" t="s">
        <v>1</v>
      </c>
      <c r="D24" s="39" t="s">
        <v>311</v>
      </c>
      <c r="E24" s="69">
        <f>ROUND(SUM(E16:E19),2)</f>
        <v>0</v>
      </c>
      <c r="L24" s="102" t="s">
        <v>337</v>
      </c>
    </row>
    <row r="25" spans="1:12" ht="39.9" customHeight="1" x14ac:dyDescent="0.3">
      <c r="A25" s="155" t="s">
        <v>331</v>
      </c>
      <c r="B25" s="156"/>
      <c r="C25" s="47" t="s">
        <v>3</v>
      </c>
      <c r="D25" s="39" t="s">
        <v>312</v>
      </c>
      <c r="E25" s="32">
        <v>0</v>
      </c>
      <c r="L25" s="102" t="s">
        <v>337</v>
      </c>
    </row>
    <row r="26" spans="1:12" ht="39.9" customHeight="1" x14ac:dyDescent="0.3">
      <c r="A26" s="168" t="s">
        <v>430</v>
      </c>
      <c r="B26" s="170"/>
      <c r="C26" s="72" t="s">
        <v>1</v>
      </c>
      <c r="D26" s="72" t="s">
        <v>313</v>
      </c>
      <c r="E26" s="73"/>
      <c r="L26" s="102" t="s">
        <v>337</v>
      </c>
    </row>
    <row r="27" spans="1:12" ht="40.200000000000003" customHeight="1" x14ac:dyDescent="0.3">
      <c r="A27" s="168" t="s">
        <v>431</v>
      </c>
      <c r="B27" s="245"/>
      <c r="C27" s="72" t="s">
        <v>2</v>
      </c>
      <c r="D27" s="72" t="s">
        <v>314</v>
      </c>
      <c r="E27" s="73"/>
      <c r="L27" s="102" t="s">
        <v>337</v>
      </c>
    </row>
    <row r="28" spans="1:12" ht="39.9" customHeight="1" thickBot="1" x14ac:dyDescent="0.35">
      <c r="A28" s="243" t="s">
        <v>336</v>
      </c>
      <c r="B28" s="244"/>
      <c r="C28" s="244"/>
      <c r="D28" s="53" t="s">
        <v>334</v>
      </c>
      <c r="E28" s="54">
        <f>ROUND(SUM(E24:E27),2)</f>
        <v>0</v>
      </c>
      <c r="F28" s="187" t="str">
        <f>IF(H1=0,"",IF(-E28=E5,"CORRECT","This amount must match Row A"))</f>
        <v/>
      </c>
      <c r="G28" s="187"/>
      <c r="H28" s="186" t="str">
        <f>IF(E5+E28&lt;0,"You still have "&amp;TEXT(ROUND((E5+E28)*-1,2),"£#,###.00")&amp;" to allocate",IF(E5+E28&gt;0,"You have allocated "&amp;TEXT(ROUND((E5+E28),2),"£#,###.00")&amp;" too much",""))</f>
        <v/>
      </c>
      <c r="I28" s="186"/>
      <c r="J28" s="186"/>
      <c r="L28" s="102" t="s">
        <v>337</v>
      </c>
    </row>
    <row r="29" spans="1:12" ht="14.25" customHeight="1" thickBot="1" x14ac:dyDescent="0.35">
      <c r="A29" s="42"/>
      <c r="B29" s="43"/>
      <c r="C29" s="43"/>
      <c r="D29" s="70"/>
      <c r="E29" s="71"/>
      <c r="F29" s="113"/>
      <c r="G29" s="113"/>
      <c r="H29" s="70"/>
      <c r="I29" s="70"/>
      <c r="J29" s="70"/>
      <c r="L29" s="102"/>
    </row>
    <row r="30" spans="1:12" ht="36.75" customHeight="1" thickBot="1" x14ac:dyDescent="0.3">
      <c r="A30" s="209" t="str">
        <f>IF(E14=0,"","Section 4.1  BCM breakdown - The section below relates to Section 2.1 above")</f>
        <v/>
      </c>
      <c r="B30" s="210"/>
      <c r="C30" s="210"/>
      <c r="D30" s="210"/>
      <c r="E30" s="211"/>
      <c r="F30" s="114"/>
      <c r="G30" s="115"/>
      <c r="H30" s="116"/>
    </row>
    <row r="31" spans="1:12" ht="23.1" customHeight="1" x14ac:dyDescent="0.25">
      <c r="A31" s="212" t="s">
        <v>349</v>
      </c>
      <c r="B31" s="213"/>
      <c r="C31" s="213"/>
      <c r="D31" s="213"/>
      <c r="E31" s="214"/>
    </row>
    <row r="32" spans="1:12" ht="23.1" customHeight="1" x14ac:dyDescent="0.25">
      <c r="A32" s="241" t="s">
        <v>294</v>
      </c>
      <c r="B32" s="242"/>
      <c r="C32" s="216" t="s">
        <v>325</v>
      </c>
      <c r="D32" s="217"/>
      <c r="E32" s="55" t="s">
        <v>324</v>
      </c>
    </row>
    <row r="33" spans="1:7" s="57" customFormat="1" ht="23.1" customHeight="1" x14ac:dyDescent="0.25">
      <c r="A33" s="56">
        <v>1</v>
      </c>
      <c r="B33" s="23"/>
      <c r="C33" s="215"/>
      <c r="D33" s="215"/>
      <c r="E33" s="118"/>
      <c r="F33" s="187" t="str">
        <f>IF(E16=SUM(C33:D36),"","The total in this section must equal the total of row F ("&amp;TEXT(ROUND(E16,2),"£#,###.00")&amp;")")</f>
        <v/>
      </c>
      <c r="G33" s="187"/>
    </row>
    <row r="34" spans="1:7" s="57" customFormat="1" ht="23.1" customHeight="1" x14ac:dyDescent="0.25">
      <c r="A34" s="56">
        <v>2</v>
      </c>
      <c r="B34" s="23"/>
      <c r="C34" s="215"/>
      <c r="D34" s="215"/>
      <c r="E34" s="118"/>
      <c r="F34" s="187"/>
      <c r="G34" s="187"/>
    </row>
    <row r="35" spans="1:7" s="57" customFormat="1" ht="23.1" customHeight="1" x14ac:dyDescent="0.25">
      <c r="A35" s="56">
        <v>3</v>
      </c>
      <c r="B35" s="23"/>
      <c r="C35" s="215"/>
      <c r="D35" s="215"/>
      <c r="E35" s="118"/>
      <c r="F35" s="187"/>
      <c r="G35" s="187"/>
    </row>
    <row r="36" spans="1:7" s="57" customFormat="1" ht="23.1" customHeight="1" thickBot="1" x14ac:dyDescent="0.3">
      <c r="A36" s="56">
        <v>4</v>
      </c>
      <c r="B36" s="23"/>
      <c r="C36" s="218"/>
      <c r="D36" s="218"/>
      <c r="E36" s="118"/>
      <c r="F36" s="187"/>
      <c r="G36" s="187"/>
    </row>
    <row r="37" spans="1:7" ht="23.1" customHeight="1" x14ac:dyDescent="0.3">
      <c r="A37" s="237" t="s">
        <v>348</v>
      </c>
      <c r="B37" s="238"/>
      <c r="C37" s="238"/>
      <c r="D37" s="238"/>
      <c r="E37" s="239"/>
      <c r="F37" s="117"/>
      <c r="G37" s="117"/>
    </row>
    <row r="38" spans="1:7" ht="23.1" customHeight="1" x14ac:dyDescent="0.3">
      <c r="A38" s="219" t="s">
        <v>444</v>
      </c>
      <c r="B38" s="220"/>
      <c r="C38" s="221" t="s">
        <v>325</v>
      </c>
      <c r="D38" s="222"/>
      <c r="E38" s="58" t="s">
        <v>324</v>
      </c>
      <c r="F38" s="117"/>
      <c r="G38" s="117"/>
    </row>
    <row r="39" spans="1:7" s="57" customFormat="1" ht="23.1" customHeight="1" x14ac:dyDescent="0.25">
      <c r="A39" s="59">
        <v>1</v>
      </c>
      <c r="B39" s="25"/>
      <c r="C39" s="240"/>
      <c r="D39" s="240"/>
      <c r="E39" s="119"/>
      <c r="F39" s="187" t="str">
        <f>IF(E17=SUM(C39:D42),"","The total in this section must equal the total of row G ("&amp;TEXT(ROUND(E17,2),"£#,###.00")&amp;")")</f>
        <v/>
      </c>
      <c r="G39" s="187"/>
    </row>
    <row r="40" spans="1:7" s="57" customFormat="1" ht="23.1" customHeight="1" x14ac:dyDescent="0.25">
      <c r="A40" s="59">
        <v>2</v>
      </c>
      <c r="B40" s="25"/>
      <c r="C40" s="240"/>
      <c r="D40" s="240"/>
      <c r="E40" s="119"/>
      <c r="F40" s="187"/>
      <c r="G40" s="187"/>
    </row>
    <row r="41" spans="1:7" s="57" customFormat="1" ht="23.1" customHeight="1" x14ac:dyDescent="0.25">
      <c r="A41" s="59">
        <v>3</v>
      </c>
      <c r="B41" s="25"/>
      <c r="C41" s="240"/>
      <c r="D41" s="240"/>
      <c r="E41" s="119"/>
      <c r="F41" s="187"/>
      <c r="G41" s="187"/>
    </row>
    <row r="42" spans="1:7" s="57" customFormat="1" ht="23.1" customHeight="1" thickBot="1" x14ac:dyDescent="0.3">
      <c r="A42" s="60">
        <v>4</v>
      </c>
      <c r="B42" s="26"/>
      <c r="C42" s="246"/>
      <c r="D42" s="246"/>
      <c r="E42" s="119"/>
      <c r="F42" s="187"/>
      <c r="G42" s="187"/>
    </row>
    <row r="43" spans="1:7" ht="23.1" customHeight="1" x14ac:dyDescent="0.3">
      <c r="A43" s="229" t="s">
        <v>345</v>
      </c>
      <c r="B43" s="230"/>
      <c r="C43" s="230"/>
      <c r="D43" s="230"/>
      <c r="E43" s="231"/>
      <c r="F43" s="117"/>
      <c r="G43" s="117"/>
    </row>
    <row r="44" spans="1:7" ht="23.1" customHeight="1" x14ac:dyDescent="0.3">
      <c r="A44" s="233" t="s">
        <v>294</v>
      </c>
      <c r="B44" s="234"/>
      <c r="C44" s="235" t="s">
        <v>325</v>
      </c>
      <c r="D44" s="236"/>
      <c r="E44" s="61" t="s">
        <v>324</v>
      </c>
      <c r="F44" s="117"/>
      <c r="G44" s="117"/>
    </row>
    <row r="45" spans="1:7" ht="23.1" customHeight="1" x14ac:dyDescent="0.25">
      <c r="A45" s="62">
        <v>1</v>
      </c>
      <c r="B45" s="27"/>
      <c r="C45" s="232"/>
      <c r="D45" s="232"/>
      <c r="E45" s="120"/>
      <c r="F45" s="187" t="str">
        <f>IF(E18=SUM(C45:D48),"","The total in this section must equal the total of row H ("&amp;TEXT(ROUND(E18,2),"£#,###.00")&amp;")")</f>
        <v/>
      </c>
      <c r="G45" s="187"/>
    </row>
    <row r="46" spans="1:7" ht="23.1" customHeight="1" x14ac:dyDescent="0.25">
      <c r="A46" s="62">
        <v>2</v>
      </c>
      <c r="B46" s="27"/>
      <c r="C46" s="232"/>
      <c r="D46" s="232"/>
      <c r="E46" s="120"/>
      <c r="F46" s="187"/>
      <c r="G46" s="187"/>
    </row>
    <row r="47" spans="1:7" ht="23.1" customHeight="1" x14ac:dyDescent="0.25">
      <c r="A47" s="62">
        <v>3</v>
      </c>
      <c r="B47" s="27"/>
      <c r="C47" s="232"/>
      <c r="D47" s="232"/>
      <c r="E47" s="120"/>
      <c r="F47" s="187"/>
      <c r="G47" s="187"/>
    </row>
    <row r="48" spans="1:7" ht="23.1" customHeight="1" thickBot="1" x14ac:dyDescent="0.3">
      <c r="A48" s="63">
        <v>4</v>
      </c>
      <c r="B48" s="28"/>
      <c r="C48" s="226"/>
      <c r="D48" s="226"/>
      <c r="E48" s="121"/>
      <c r="F48" s="187"/>
      <c r="G48" s="187"/>
    </row>
    <row r="49" spans="1:7" ht="23.25" customHeight="1" x14ac:dyDescent="0.3">
      <c r="A49" s="223" t="s">
        <v>346</v>
      </c>
      <c r="B49" s="224"/>
      <c r="C49" s="224"/>
      <c r="D49" s="224"/>
      <c r="E49" s="225"/>
      <c r="F49" s="117"/>
      <c r="G49" s="117"/>
    </row>
    <row r="50" spans="1:7" ht="23.1" customHeight="1" x14ac:dyDescent="0.3">
      <c r="A50" s="205" t="s">
        <v>294</v>
      </c>
      <c r="B50" s="206"/>
      <c r="C50" s="207" t="s">
        <v>325</v>
      </c>
      <c r="D50" s="208"/>
      <c r="E50" s="64" t="s">
        <v>324</v>
      </c>
      <c r="F50" s="117"/>
      <c r="G50" s="117"/>
    </row>
    <row r="51" spans="1:7" ht="23.1" customHeight="1" x14ac:dyDescent="0.25">
      <c r="A51" s="65">
        <v>1</v>
      </c>
      <c r="B51" s="30"/>
      <c r="C51" s="227"/>
      <c r="D51" s="227"/>
      <c r="E51" s="122"/>
      <c r="F51" s="164" t="str">
        <f>IF(E19=SUM(C51:D54),"","The total in this section must equal the total of row I ("&amp;TEXT(ROUND(E19,2),"£#,###.00")&amp;")")</f>
        <v/>
      </c>
      <c r="G51" s="164"/>
    </row>
    <row r="52" spans="1:7" ht="23.1" customHeight="1" x14ac:dyDescent="0.25">
      <c r="A52" s="65">
        <v>2</v>
      </c>
      <c r="B52" s="30"/>
      <c r="C52" s="227"/>
      <c r="D52" s="227"/>
      <c r="E52" s="122"/>
      <c r="F52" s="164"/>
      <c r="G52" s="164"/>
    </row>
    <row r="53" spans="1:7" ht="23.1" customHeight="1" x14ac:dyDescent="0.25">
      <c r="A53" s="65">
        <v>3</v>
      </c>
      <c r="B53" s="30"/>
      <c r="C53" s="227"/>
      <c r="D53" s="227"/>
      <c r="E53" s="122"/>
      <c r="F53" s="164"/>
      <c r="G53" s="164"/>
    </row>
    <row r="54" spans="1:7" ht="23.1" customHeight="1" thickBot="1" x14ac:dyDescent="0.3">
      <c r="A54" s="66">
        <v>4</v>
      </c>
      <c r="B54" s="31"/>
      <c r="C54" s="228"/>
      <c r="D54" s="228"/>
      <c r="E54" s="123"/>
      <c r="F54" s="164"/>
      <c r="G54" s="164"/>
    </row>
    <row r="55" spans="1:7" ht="15.6" thickBot="1" x14ac:dyDescent="0.3"/>
    <row r="56" spans="1:7" ht="48" customHeight="1" thickBot="1" x14ac:dyDescent="0.3">
      <c r="A56" s="151" t="s">
        <v>447</v>
      </c>
      <c r="B56" s="152"/>
    </row>
    <row r="57" spans="1:7" ht="23.25" customHeight="1" x14ac:dyDescent="0.25">
      <c r="A57" s="153"/>
      <c r="B57" s="153"/>
    </row>
    <row r="58" spans="1:7" ht="23.25" customHeight="1" x14ac:dyDescent="0.25">
      <c r="A58" s="150"/>
      <c r="B58" s="150"/>
    </row>
    <row r="59" spans="1:7" ht="23.25" customHeight="1" x14ac:dyDescent="0.25">
      <c r="A59" s="150"/>
      <c r="B59" s="150"/>
    </row>
    <row r="60" spans="1:7" ht="23.25" customHeight="1" x14ac:dyDescent="0.25">
      <c r="A60" s="150"/>
      <c r="B60" s="150"/>
    </row>
    <row r="61" spans="1:7" ht="23.25" customHeight="1" x14ac:dyDescent="0.25">
      <c r="A61" s="150"/>
      <c r="B61" s="150"/>
    </row>
    <row r="62" spans="1:7" ht="23.25" customHeight="1" x14ac:dyDescent="0.25">
      <c r="A62" s="150"/>
      <c r="B62" s="150"/>
    </row>
    <row r="63" spans="1:7" ht="23.25" customHeight="1" x14ac:dyDescent="0.25">
      <c r="A63" s="150"/>
      <c r="B63" s="150"/>
    </row>
    <row r="64" spans="1:7" ht="23.25" customHeight="1" x14ac:dyDescent="0.25">
      <c r="A64" s="150"/>
      <c r="B64" s="150"/>
    </row>
    <row r="65" spans="1:6" ht="23.25" customHeight="1" x14ac:dyDescent="0.25">
      <c r="A65" s="150"/>
      <c r="B65" s="150"/>
    </row>
    <row r="66" spans="1:6" ht="23.25" customHeight="1" x14ac:dyDescent="0.25">
      <c r="A66" s="150"/>
      <c r="B66" s="150"/>
    </row>
    <row r="67" spans="1:6" ht="23.25" customHeight="1" x14ac:dyDescent="0.25">
      <c r="A67" s="150"/>
      <c r="B67" s="150"/>
    </row>
    <row r="68" spans="1:6" ht="23.25" customHeight="1" x14ac:dyDescent="0.25">
      <c r="A68" s="150"/>
      <c r="B68" s="150"/>
      <c r="F68" s="67"/>
    </row>
    <row r="69" spans="1:6" ht="23.25" customHeight="1" x14ac:dyDescent="0.25">
      <c r="A69" s="150"/>
      <c r="B69" s="150"/>
      <c r="F69" s="67"/>
    </row>
    <row r="70" spans="1:6" ht="23.25" customHeight="1" x14ac:dyDescent="0.25">
      <c r="A70" s="150"/>
      <c r="B70" s="150"/>
    </row>
    <row r="71" spans="1:6" ht="23.25" customHeight="1" x14ac:dyDescent="0.25">
      <c r="A71" s="148"/>
      <c r="B71" s="149"/>
    </row>
    <row r="72" spans="1:6" ht="23.25" customHeight="1" x14ac:dyDescent="0.25">
      <c r="A72" s="148"/>
      <c r="B72" s="149"/>
    </row>
  </sheetData>
  <sheetProtection algorithmName="SHA-512" hashValue="clkqOD5cigCWhdsCusDhpd0BVUU4vKin+QLCnb/JHqDhbjoJPHkvl+dqVk+I86S0R8fv45AQnNwkH5wSmKYMYQ==" saltValue="CWtvS/T8rxWdZ4pJeXao3Q==" spinCount="100000" sheet="1" objects="1" scenarios="1"/>
  <protectedRanges>
    <protectedRange sqref="D23 D5:D9 D12:D15" name="Range1"/>
  </protectedRanges>
  <mergeCells count="87">
    <mergeCell ref="A43:E43"/>
    <mergeCell ref="A26:B26"/>
    <mergeCell ref="C47:D47"/>
    <mergeCell ref="A44:B44"/>
    <mergeCell ref="C44:D44"/>
    <mergeCell ref="A37:E37"/>
    <mergeCell ref="C40:D40"/>
    <mergeCell ref="A32:B32"/>
    <mergeCell ref="C46:D46"/>
    <mergeCell ref="C41:D41"/>
    <mergeCell ref="C45:D45"/>
    <mergeCell ref="A28:C28"/>
    <mergeCell ref="A27:B27"/>
    <mergeCell ref="C42:D42"/>
    <mergeCell ref="C39:D39"/>
    <mergeCell ref="C51:D51"/>
    <mergeCell ref="F51:G54"/>
    <mergeCell ref="C52:D52"/>
    <mergeCell ref="C53:D53"/>
    <mergeCell ref="C54:D54"/>
    <mergeCell ref="F45:G48"/>
    <mergeCell ref="A50:B50"/>
    <mergeCell ref="C50:D50"/>
    <mergeCell ref="A30:E30"/>
    <mergeCell ref="F33:G36"/>
    <mergeCell ref="A31:E31"/>
    <mergeCell ref="F39:G42"/>
    <mergeCell ref="C34:D34"/>
    <mergeCell ref="C32:D32"/>
    <mergeCell ref="C36:D36"/>
    <mergeCell ref="C33:D33"/>
    <mergeCell ref="C35:D35"/>
    <mergeCell ref="A38:B38"/>
    <mergeCell ref="C38:D38"/>
    <mergeCell ref="A49:E49"/>
    <mergeCell ref="C48:D48"/>
    <mergeCell ref="C1:D1"/>
    <mergeCell ref="A5:C5"/>
    <mergeCell ref="A3:E3"/>
    <mergeCell ref="B2:D2"/>
    <mergeCell ref="A9:E9"/>
    <mergeCell ref="A4:C4"/>
    <mergeCell ref="A7:C7"/>
    <mergeCell ref="A6:C6"/>
    <mergeCell ref="A8:E8"/>
    <mergeCell ref="A13:C13"/>
    <mergeCell ref="A14:C14"/>
    <mergeCell ref="F5:G5"/>
    <mergeCell ref="H28:J28"/>
    <mergeCell ref="F17:G17"/>
    <mergeCell ref="F16:G16"/>
    <mergeCell ref="F18:G18"/>
    <mergeCell ref="F28:G28"/>
    <mergeCell ref="F22:I22"/>
    <mergeCell ref="F2:H2"/>
    <mergeCell ref="A24:B24"/>
    <mergeCell ref="A23:E23"/>
    <mergeCell ref="A25:B25"/>
    <mergeCell ref="A22:C22"/>
    <mergeCell ref="H16:J19"/>
    <mergeCell ref="F19:G19"/>
    <mergeCell ref="A16:C16"/>
    <mergeCell ref="A17:C17"/>
    <mergeCell ref="A18:C18"/>
    <mergeCell ref="A19:C19"/>
    <mergeCell ref="A21:C21"/>
    <mergeCell ref="A20:C20"/>
    <mergeCell ref="A15:E15"/>
    <mergeCell ref="A12:C12"/>
    <mergeCell ref="A11:C11"/>
    <mergeCell ref="A56:B56"/>
    <mergeCell ref="A57:B57"/>
    <mergeCell ref="A58:B58"/>
    <mergeCell ref="A59:B59"/>
    <mergeCell ref="A60:B60"/>
    <mergeCell ref="A61:B61"/>
    <mergeCell ref="A62:B62"/>
    <mergeCell ref="A63:B63"/>
    <mergeCell ref="A64:B64"/>
    <mergeCell ref="A65:B65"/>
    <mergeCell ref="A71:B71"/>
    <mergeCell ref="A72:B72"/>
    <mergeCell ref="A66:B66"/>
    <mergeCell ref="A67:B67"/>
    <mergeCell ref="A68:B68"/>
    <mergeCell ref="A69:B69"/>
    <mergeCell ref="A70:B70"/>
  </mergeCells>
  <phoneticPr fontId="0" type="noConversion"/>
  <conditionalFormatting sqref="A16:A18">
    <cfRule type="expression" dxfId="28" priority="8">
      <formula>$E$14=0</formula>
    </cfRule>
  </conditionalFormatting>
  <conditionalFormatting sqref="A8:E8">
    <cfRule type="containsText" dxfId="27" priority="30" stopIfTrue="1" operator="containsText" text="less than ">
      <formula>NOT(ISERROR(SEARCH("less than ",A8)))</formula>
    </cfRule>
    <cfRule type="containsText" dxfId="26" priority="33" stopIfTrue="1" operator="containsText" text="Enter a brief">
      <formula>NOT(ISERROR(SEARCH("Enter a brief",A8)))</formula>
    </cfRule>
  </conditionalFormatting>
  <conditionalFormatting sqref="A9:E9">
    <cfRule type="expression" dxfId="25" priority="27">
      <formula>SEARCH("less than",A8)</formula>
    </cfRule>
    <cfRule type="expression" dxfId="24" priority="31" stopIfTrue="1">
      <formula>$A$8="Enter a brief description below for the amount in row E"</formula>
    </cfRule>
    <cfRule type="containsText" dxfId="23" priority="37" stopIfTrue="1" operator="containsText" text="Within">
      <formula>NOT(ISERROR(SEARCH("Within",A9)))</formula>
    </cfRule>
  </conditionalFormatting>
  <conditionalFormatting sqref="A16:E22">
    <cfRule type="expression" dxfId="22" priority="3" stopIfTrue="1">
      <formula>$E$14=0</formula>
    </cfRule>
  </conditionalFormatting>
  <conditionalFormatting sqref="A20:E20">
    <cfRule type="expression" dxfId="21" priority="2">
      <formula>$E$14=0</formula>
    </cfRule>
  </conditionalFormatting>
  <conditionalFormatting sqref="A30:E54">
    <cfRule type="expression" dxfId="20" priority="15">
      <formula>$A$15="Section 2.1 - This section is not applicable as you are not over your BCM allowable."</formula>
    </cfRule>
  </conditionalFormatting>
  <conditionalFormatting sqref="D12">
    <cfRule type="expression" priority="19" stopIfTrue="1">
      <formula>$E$1=""</formula>
    </cfRule>
  </conditionalFormatting>
  <conditionalFormatting sqref="D16:E18">
    <cfRule type="expression" dxfId="19" priority="22">
      <formula>$E$14=0</formula>
    </cfRule>
  </conditionalFormatting>
  <conditionalFormatting sqref="E22">
    <cfRule type="expression" dxfId="18" priority="4">
      <formula>$E$22+$E$5&lt;0</formula>
    </cfRule>
    <cfRule type="expression" dxfId="17" priority="12">
      <formula>$E$22+$E$5&gt;0</formula>
    </cfRule>
  </conditionalFormatting>
  <conditionalFormatting sqref="E28 E5">
    <cfRule type="expression" dxfId="16" priority="47" stopIfTrue="1">
      <formula>$E$28&lt;&gt;-$E$5</formula>
    </cfRule>
  </conditionalFormatting>
  <conditionalFormatting sqref="E28:E29 D5">
    <cfRule type="expression" priority="46" stopIfTrue="1">
      <formula>$E$1=""</formula>
    </cfRule>
  </conditionalFormatting>
  <conditionalFormatting sqref="E28:E29">
    <cfRule type="containsText" dxfId="15" priority="44" stopIfTrue="1" operator="containsText" text="The current">
      <formula>NOT(ISERROR(SEARCH("The current",E28)))</formula>
    </cfRule>
  </conditionalFormatting>
  <conditionalFormatting sqref="F2">
    <cfRule type="containsText" dxfId="14" priority="42" stopIfTrue="1" operator="containsText" text="Links">
      <formula>NOT(ISERROR(SEARCH("Links",F2)))</formula>
    </cfRule>
  </conditionalFormatting>
  <conditionalFormatting sqref="F13">
    <cfRule type="expression" dxfId="13" priority="1">
      <formula>$A$13="Please enter your total income for 2023-24 in cell F13 highlighted in yellow, your BCM figure is 12% of your income"</formula>
    </cfRule>
  </conditionalFormatting>
  <conditionalFormatting sqref="F22">
    <cfRule type="notContainsText" dxfId="12" priority="7" stopIfTrue="1" operator="notContains" text="CORRECT">
      <formula>ISERROR(SEARCH("CORRECT",F22))</formula>
    </cfRule>
  </conditionalFormatting>
  <conditionalFormatting sqref="F39">
    <cfRule type="notContainsText" dxfId="11" priority="39" stopIfTrue="1" operator="notContains" text="CORRECT">
      <formula>ISERROR(SEARCH("CORRECT",F39))</formula>
    </cfRule>
  </conditionalFormatting>
  <conditionalFormatting sqref="F45">
    <cfRule type="notContainsText" dxfId="10" priority="38" stopIfTrue="1" operator="notContains" text="CORRECT">
      <formula>ISERROR(SEARCH("CORRECT",F45))</formula>
    </cfRule>
  </conditionalFormatting>
  <conditionalFormatting sqref="F51">
    <cfRule type="notContainsText" dxfId="9" priority="25" stopIfTrue="1" operator="notContains" text="CORRECT">
      <formula>ISERROR(SEARCH("CORRECT",F51))</formula>
    </cfRule>
  </conditionalFormatting>
  <conditionalFormatting sqref="F5:G5">
    <cfRule type="containsText" dxfId="8" priority="26" operator="containsText" text="Revenue Deficit">
      <formula>NOT(ISERROR(SEARCH("Revenue Deficit",F5)))</formula>
    </cfRule>
  </conditionalFormatting>
  <conditionalFormatting sqref="H16">
    <cfRule type="containsText" dxfId="7" priority="21" operator="containsText" text="more">
      <formula>NOT(ISERROR(SEARCH("more",H16)))</formula>
    </cfRule>
    <cfRule type="containsText" dxfId="6" priority="43" stopIfTrue="1" operator="containsText" text="less">
      <formula>NOT(ISERROR(SEARCH("less",H16)))</formula>
    </cfRule>
  </conditionalFormatting>
  <conditionalFormatting sqref="H28:H30 F28:F30 F32:F33 H32:H33">
    <cfRule type="notContainsText" dxfId="5" priority="53" stopIfTrue="1" operator="notContains" text="CORRECT">
      <formula>ISERROR(SEARCH("CORRECT",F28))</formula>
    </cfRule>
  </conditionalFormatting>
  <conditionalFormatting sqref="H34">
    <cfRule type="notContainsText" dxfId="4" priority="52" stopIfTrue="1" operator="notContains" text="OK">
      <formula>ISERROR(SEARCH("OK",H34))</formula>
    </cfRule>
  </conditionalFormatting>
  <conditionalFormatting sqref="H28:J29">
    <cfRule type="containsText" dxfId="3" priority="34" stopIfTrue="1" operator="containsText" text="allocated">
      <formula>NOT(ISERROR(SEARCH("allocated",H28)))</formula>
    </cfRule>
    <cfRule type="containsText" dxfId="2" priority="35" stopIfTrue="1" operator="containsText" text="to allocate">
      <formula>NOT(ISERROR(SEARCH("to allocate",H28)))</formula>
    </cfRule>
  </conditionalFormatting>
  <conditionalFormatting sqref="J22">
    <cfRule type="containsText" dxfId="1" priority="5" stopIfTrue="1" operator="containsText" text="allocated">
      <formula>NOT(ISERROR(SEARCH("allocated",J22)))</formula>
    </cfRule>
    <cfRule type="containsText" dxfId="0" priority="6" stopIfTrue="1" operator="containsText" text="to allocate">
      <formula>NOT(ISERROR(SEARCH("to allocate",J22)))</formula>
    </cfRule>
  </conditionalFormatting>
  <dataValidations count="19">
    <dataValidation type="decimal" operator="greaterThanOrEqual" allowBlank="1" showInputMessage="1" error="This cannot be a negative figure" sqref="E27" xr:uid="{00000000-0002-0000-0000-000001000000}">
      <formula1>0</formula1>
    </dataValidation>
    <dataValidation type="decimal" operator="greaterThanOrEqual" allowBlank="1" showInputMessage="1" showErrorMessage="1" error="This cannot be a negative figure" sqref="E25:E26 E16:E22" xr:uid="{00000000-0002-0000-0000-000000000000}">
      <formula1>0</formula1>
    </dataValidation>
    <dataValidation operator="greaterThanOrEqual" allowBlank="1" showInputMessage="1" showErrorMessage="1" error="This cannot be a negative figure" sqref="E24" xr:uid="{8CA399BF-EAAE-4F4D-A6E1-8FE61C189B73}"/>
    <dataValidation type="date" allowBlank="1" showInputMessage="1" showErrorMessage="1" error="The date you enter must be in the 12 months following 01 April" sqref="E51" xr:uid="{4EFF9E99-F753-4BCE-A950-892683C3B00C}">
      <formula1>Q1</formula1>
      <formula2>P1</formula2>
    </dataValidation>
    <dataValidation type="date" allowBlank="1" showInputMessage="1" showErrorMessage="1" error="The date you enter must be in the 12 months following 01 April" sqref="E33" xr:uid="{573862D4-BD73-4586-8146-1B08F627322F}">
      <formula1>Q1</formula1>
      <formula2>P1</formula2>
    </dataValidation>
    <dataValidation type="date" allowBlank="1" showInputMessage="1" showErrorMessage="1" error="The date you enter must be in the 12 months following 01 April" sqref="E34" xr:uid="{3365EB07-97CE-4676-9FAE-E632A3466A40}">
      <formula1>Q1</formula1>
      <formula2>P1</formula2>
    </dataValidation>
    <dataValidation type="date" allowBlank="1" showInputMessage="1" showErrorMessage="1" error="The date you enter must be in the 12 months following 01 April" sqref="E35" xr:uid="{D74EBBF5-584B-4454-BD4D-11361B673A65}">
      <formula1>Q1</formula1>
      <formula2>P1</formula2>
    </dataValidation>
    <dataValidation type="date" allowBlank="1" showInputMessage="1" showErrorMessage="1" error="The date you enter must be in the 12 months following 01 April" sqref="E36" xr:uid="{3FA9DD00-9A1E-41A2-886C-5F1C3A4042D5}">
      <formula1>Q1</formula1>
      <formula2>P1</formula2>
    </dataValidation>
    <dataValidation type="date" allowBlank="1" showInputMessage="1" showErrorMessage="1" error="The date you enter must be in the 12 months following 01 April" sqref="E39" xr:uid="{DFCDC328-473E-4AC8-840A-551FCD8ED5D5}">
      <formula1>Q1</formula1>
      <formula2>P1</formula2>
    </dataValidation>
    <dataValidation type="date" allowBlank="1" showInputMessage="1" showErrorMessage="1" error="The date you enter must be in the 12 months following 01 April" sqref="E40" xr:uid="{F95B18DF-7269-4FCC-8E55-E1A3D7ED3DA0}">
      <formula1>Q1</formula1>
      <formula2>P1</formula2>
    </dataValidation>
    <dataValidation type="date" allowBlank="1" showInputMessage="1" showErrorMessage="1" error="The date you enter must be in the 12 months following 01 April" sqref="E41" xr:uid="{03066DF9-3FDB-4397-B2FE-50CA3B02F52D}">
      <formula1>Q1</formula1>
      <formula2>P1</formula2>
    </dataValidation>
    <dataValidation type="date" allowBlank="1" showInputMessage="1" showErrorMessage="1" error="The date you enter must be in the 12 months following 01 April" sqref="E42" xr:uid="{61F7DBBC-E902-42C1-B879-B9AB560C3D1B}">
      <formula1>Q1</formula1>
      <formula2>P1</formula2>
    </dataValidation>
    <dataValidation type="date" allowBlank="1" showInputMessage="1" showErrorMessage="1" error="The date you enter must be in the 12 months following 01 April" sqref="E45" xr:uid="{B417791A-9DBE-458F-B55F-6E04B9E63059}">
      <formula1>Q1</formula1>
      <formula2>P1</formula2>
    </dataValidation>
    <dataValidation type="date" allowBlank="1" showInputMessage="1" showErrorMessage="1" error="The date you enter must be in the 12 months following 01 April" sqref="E46" xr:uid="{1ED37B60-EAA9-4079-A31C-7F1CC659012B}">
      <formula1>Q1</formula1>
      <formula2>P1</formula2>
    </dataValidation>
    <dataValidation type="date" allowBlank="1" showInputMessage="1" showErrorMessage="1" error="The date you enter must be in the 12 months following 01 April" sqref="E47" xr:uid="{29521A1E-D2F2-423E-92C2-C8D328BA3143}">
      <formula1>Q1</formula1>
      <formula2>P1</formula2>
    </dataValidation>
    <dataValidation type="date" allowBlank="1" showInputMessage="1" showErrorMessage="1" error="The date you enter must be in the 12 months following 01 April" sqref="E48" xr:uid="{11812D91-4409-4351-872C-5E217695CD7D}">
      <formula1>Q1</formula1>
      <formula2>P1</formula2>
    </dataValidation>
    <dataValidation type="date" allowBlank="1" showInputMessage="1" showErrorMessage="1" error="The date you enter must be in the 12 months following 01 April" sqref="E52" xr:uid="{824A0FB0-8DF6-47D1-A9E8-9119964317FD}">
      <formula1>Q1</formula1>
      <formula2>P1</formula2>
    </dataValidation>
    <dataValidation type="date" allowBlank="1" showInputMessage="1" showErrorMessage="1" error="The date you enter must be in the 12 months following 01 April" sqref="E53" xr:uid="{4DC88EE7-2EFF-4C48-B5C3-9C1ECD2F85AC}">
      <formula1>Q1</formula1>
      <formula2>P1</formula2>
    </dataValidation>
    <dataValidation type="date" allowBlank="1" showInputMessage="1" showErrorMessage="1" error="The date you enter must be in the 12 months following 01 April" sqref="E54" xr:uid="{ED1520A3-6268-4011-93F1-0D7520E93F75}">
      <formula1>Q1</formula1>
      <formula2>P1</formula2>
    </dataValidation>
  </dataValidations>
  <printOptions horizontalCentered="1" verticalCentered="1"/>
  <pageMargins left="0.39370078740157483" right="0.39370078740157483" top="0.39370078740157483" bottom="0.39370078740157483" header="0.19685039370078741" footer="0.19685039370078741"/>
  <pageSetup paperSize="9" scale="52" orientation="portrait" r:id="rId1"/>
  <headerFooter alignWithMargins="0"/>
  <ignoredErrors>
    <ignoredError sqref="E21:E22"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U297"/>
  <sheetViews>
    <sheetView zoomScale="75" zoomScaleNormal="75" workbookViewId="0">
      <pane ySplit="2" topLeftCell="A209" activePane="bottomLeft" state="frozen"/>
      <selection pane="bottomLeft" activeCell="A245" sqref="A245:XFD245"/>
    </sheetView>
  </sheetViews>
  <sheetFormatPr defaultRowHeight="15" x14ac:dyDescent="0.25"/>
  <cols>
    <col min="1" max="1" width="8.36328125" style="3" bestFit="1" customWidth="1"/>
    <col min="2" max="2" width="32.08984375" style="124" customWidth="1"/>
    <col min="3" max="3" width="13.453125" style="5" bestFit="1" customWidth="1"/>
    <col min="4" max="4" width="8.36328125" style="6" bestFit="1" customWidth="1"/>
    <col min="5" max="5" width="8.36328125" style="6" customWidth="1"/>
    <col min="6" max="6" width="10.90625" style="3" bestFit="1" customWidth="1"/>
    <col min="7" max="7" width="10.453125" style="3" customWidth="1"/>
    <col min="8" max="8" width="10.453125" style="3" bestFit="1" customWidth="1"/>
    <col min="9" max="9" width="9.453125" style="3" bestFit="1" customWidth="1"/>
    <col min="10" max="10" width="9.453125" style="3" customWidth="1"/>
    <col min="11" max="11" width="11.81640625" style="3" bestFit="1" customWidth="1"/>
    <col min="12" max="12" width="16" style="5" customWidth="1"/>
    <col min="13" max="13" width="12" bestFit="1" customWidth="1"/>
    <col min="14" max="14" width="13.36328125" style="3" bestFit="1" customWidth="1"/>
    <col min="15" max="15" width="12.81640625" customWidth="1"/>
    <col min="16" max="16" width="12.54296875" bestFit="1" customWidth="1"/>
    <col min="17" max="17" width="14.54296875" bestFit="1" customWidth="1"/>
    <col min="18" max="18" width="13.08984375" customWidth="1"/>
    <col min="21" max="21" width="17.81640625" customWidth="1"/>
    <col min="22" max="22" width="9.81640625" bestFit="1" customWidth="1"/>
  </cols>
  <sheetData>
    <row r="1" spans="1:21" x14ac:dyDescent="0.25">
      <c r="C1" s="17"/>
      <c r="D1" s="140"/>
      <c r="E1" s="140"/>
      <c r="F1" s="256" t="s">
        <v>448</v>
      </c>
      <c r="G1" s="256"/>
      <c r="H1" s="256"/>
      <c r="I1" s="256"/>
      <c r="J1" s="256"/>
      <c r="K1" s="139" t="s">
        <v>433</v>
      </c>
      <c r="L1" s="17"/>
      <c r="M1" s="19" t="s">
        <v>317</v>
      </c>
      <c r="N1" s="137" t="s">
        <v>315</v>
      </c>
      <c r="O1" s="130"/>
      <c r="P1" s="130"/>
      <c r="Q1" s="19" t="s">
        <v>319</v>
      </c>
      <c r="R1" s="12" t="s">
        <v>319</v>
      </c>
    </row>
    <row r="2" spans="1:21" s="10" customFormat="1" x14ac:dyDescent="0.25">
      <c r="A2" s="9" t="s">
        <v>295</v>
      </c>
      <c r="B2" s="125" t="s">
        <v>296</v>
      </c>
      <c r="C2" s="18" t="s">
        <v>146</v>
      </c>
      <c r="D2" s="18" t="s">
        <v>298</v>
      </c>
      <c r="E2" s="141" t="s">
        <v>367</v>
      </c>
      <c r="F2" s="135" t="s">
        <v>435</v>
      </c>
      <c r="G2" s="136" t="s">
        <v>299</v>
      </c>
      <c r="H2" s="136" t="s">
        <v>300</v>
      </c>
      <c r="I2" s="136" t="s">
        <v>301</v>
      </c>
      <c r="J2" s="135" t="s">
        <v>434</v>
      </c>
      <c r="K2" s="135" t="s">
        <v>432</v>
      </c>
      <c r="L2" s="129" t="s">
        <v>302</v>
      </c>
      <c r="M2" s="20" t="s">
        <v>318</v>
      </c>
      <c r="N2" s="138" t="s">
        <v>316</v>
      </c>
      <c r="O2" s="131" t="s">
        <v>320</v>
      </c>
      <c r="P2" s="20" t="s">
        <v>321</v>
      </c>
      <c r="Q2" s="20">
        <v>10000</v>
      </c>
      <c r="R2" s="13">
        <v>0.15</v>
      </c>
    </row>
    <row r="3" spans="1:21" x14ac:dyDescent="0.25">
      <c r="A3" s="8">
        <v>1001</v>
      </c>
      <c r="B3" s="126" t="s">
        <v>149</v>
      </c>
      <c r="C3" s="4">
        <f>IF(D3=1,L3*0.12,IF(D3=3,L3*0.085,L3*0.075))</f>
        <v>73735.124400000001</v>
      </c>
      <c r="D3" s="6">
        <v>1</v>
      </c>
      <c r="E3" s="82">
        <f t="shared" ref="E3:E61" si="0">IF(D3=1,0.12,IF(D3=4,0.085,0.075))</f>
        <v>0.12</v>
      </c>
      <c r="F3" s="128">
        <v>600891.9</v>
      </c>
      <c r="G3" s="128">
        <v>0</v>
      </c>
      <c r="H3" s="128">
        <v>13567.47</v>
      </c>
      <c r="I3" s="128">
        <v>0</v>
      </c>
      <c r="J3" s="128">
        <v>0</v>
      </c>
      <c r="K3" s="128">
        <v>0</v>
      </c>
      <c r="L3" s="5">
        <f t="shared" ref="L3:L52" si="1">SUM(F3:K3)</f>
        <v>614459.37</v>
      </c>
      <c r="M3" s="2">
        <f>Form!$E$5</f>
        <v>0</v>
      </c>
      <c r="N3" s="5">
        <v>-67457.510000000068</v>
      </c>
      <c r="O3" s="14">
        <f>N3-M3</f>
        <v>-67457.510000000068</v>
      </c>
      <c r="P3" s="15" t="e">
        <f>O3/M3</f>
        <v>#DIV/0!</v>
      </c>
      <c r="Q3" s="16" t="e">
        <f>IF(AND(O3&lt;$Q$2,O3&gt;-$Q$2),"Within Tolerance",IF(AND(P3&lt;$R$2,P3&gt;-$R$2),"Within Tolerance",O3))</f>
        <v>#DIV/0!</v>
      </c>
      <c r="U3" s="14"/>
    </row>
    <row r="4" spans="1:21" ht="15" customHeight="1" x14ac:dyDescent="0.25">
      <c r="A4" s="8">
        <v>1123</v>
      </c>
      <c r="B4" s="126" t="s">
        <v>352</v>
      </c>
      <c r="C4" s="4">
        <f t="shared" ref="C4:C62" si="2">IF(D4=1,L4*0.12,IF(D4=3,L4*0.085,L4*0.075))</f>
        <v>431223.23879999993</v>
      </c>
      <c r="D4" s="6">
        <v>1</v>
      </c>
      <c r="E4" s="82">
        <f t="shared" si="0"/>
        <v>0.12</v>
      </c>
      <c r="F4" s="128">
        <v>1460000</v>
      </c>
      <c r="G4" s="128">
        <v>0</v>
      </c>
      <c r="H4" s="128">
        <v>2131681.9899999998</v>
      </c>
      <c r="I4" s="128">
        <v>1845</v>
      </c>
      <c r="J4" s="128">
        <v>0</v>
      </c>
      <c r="K4" s="128">
        <v>0</v>
      </c>
      <c r="L4" s="5">
        <f t="shared" si="1"/>
        <v>3593526.9899999998</v>
      </c>
      <c r="M4" s="2">
        <f>Form!$E$5</f>
        <v>0</v>
      </c>
      <c r="N4" s="5">
        <v>-575097</v>
      </c>
      <c r="O4" s="14">
        <f t="shared" ref="O4:O53" si="3">N4-M4</f>
        <v>-575097</v>
      </c>
      <c r="P4" s="15" t="e">
        <f t="shared" ref="P4:P53" si="4">O4/M4</f>
        <v>#DIV/0!</v>
      </c>
      <c r="Q4" s="16" t="e">
        <f t="shared" ref="Q4:Q53" si="5">IF(AND(O4&lt;$Q$2,O4&gt;-$Q$2),"Within Tolerance",IF(AND(P4&lt;$R$2,P4&gt;-$R$2),"Within Tolerance",O4))</f>
        <v>#DIV/0!</v>
      </c>
      <c r="U4" s="14"/>
    </row>
    <row r="5" spans="1:21" ht="15" customHeight="1" x14ac:dyDescent="0.25">
      <c r="A5" s="8">
        <v>1124</v>
      </c>
      <c r="B5" s="126" t="s">
        <v>150</v>
      </c>
      <c r="C5" s="4">
        <f t="shared" si="2"/>
        <v>79025.233200000002</v>
      </c>
      <c r="D5" s="6">
        <v>1</v>
      </c>
      <c r="E5" s="82">
        <f t="shared" si="0"/>
        <v>0.12</v>
      </c>
      <c r="F5" s="128">
        <v>370000.00000000012</v>
      </c>
      <c r="G5" s="128">
        <v>0</v>
      </c>
      <c r="H5" s="128">
        <v>286723.61</v>
      </c>
      <c r="I5" s="128">
        <v>1820</v>
      </c>
      <c r="J5" s="128">
        <v>0</v>
      </c>
      <c r="K5" s="128">
        <v>0</v>
      </c>
      <c r="L5" s="5">
        <f t="shared" si="1"/>
        <v>658543.6100000001</v>
      </c>
      <c r="M5" s="2">
        <f>Form!$E$5</f>
        <v>0</v>
      </c>
      <c r="N5" s="5">
        <v>-191195.60000000006</v>
      </c>
      <c r="O5" s="14">
        <f t="shared" si="3"/>
        <v>-191195.60000000006</v>
      </c>
      <c r="P5" s="15" t="e">
        <f t="shared" si="4"/>
        <v>#DIV/0!</v>
      </c>
      <c r="Q5" s="16" t="e">
        <f t="shared" si="5"/>
        <v>#DIV/0!</v>
      </c>
      <c r="U5" s="14"/>
    </row>
    <row r="6" spans="1:21" ht="15" customHeight="1" thickBot="1" x14ac:dyDescent="0.3">
      <c r="A6" s="8">
        <v>1127</v>
      </c>
      <c r="B6" s="126" t="s">
        <v>297</v>
      </c>
      <c r="C6" s="4">
        <f t="shared" si="2"/>
        <v>146320.48200000005</v>
      </c>
      <c r="D6" s="6">
        <v>1</v>
      </c>
      <c r="E6" s="82">
        <f t="shared" si="0"/>
        <v>0.12</v>
      </c>
      <c r="F6" s="128">
        <v>680000.00000000023</v>
      </c>
      <c r="G6" s="128">
        <v>0</v>
      </c>
      <c r="H6" s="128">
        <v>533587.35000000009</v>
      </c>
      <c r="I6" s="128">
        <v>5750</v>
      </c>
      <c r="J6" s="128">
        <v>0</v>
      </c>
      <c r="K6" s="128">
        <v>0</v>
      </c>
      <c r="L6" s="5">
        <f t="shared" si="1"/>
        <v>1219337.3500000003</v>
      </c>
      <c r="M6" s="2">
        <f>Form!$E$5</f>
        <v>0</v>
      </c>
      <c r="N6" s="5">
        <v>-437320.35000000027</v>
      </c>
      <c r="O6" s="14">
        <f t="shared" si="3"/>
        <v>-437320.35000000027</v>
      </c>
      <c r="P6" s="15" t="e">
        <f t="shared" si="4"/>
        <v>#DIV/0!</v>
      </c>
      <c r="Q6" s="16" t="e">
        <f t="shared" si="5"/>
        <v>#DIV/0!</v>
      </c>
      <c r="U6" s="14"/>
    </row>
    <row r="7" spans="1:21" ht="15" customHeight="1" x14ac:dyDescent="0.25">
      <c r="A7" s="8">
        <v>1128</v>
      </c>
      <c r="B7" s="126" t="s">
        <v>151</v>
      </c>
      <c r="C7" s="4">
        <f t="shared" si="2"/>
        <v>226973.59680000003</v>
      </c>
      <c r="D7" s="6">
        <v>1</v>
      </c>
      <c r="E7" s="82">
        <f t="shared" si="0"/>
        <v>0.12</v>
      </c>
      <c r="F7" s="128">
        <v>1040000.0000000002</v>
      </c>
      <c r="G7" s="128">
        <v>0</v>
      </c>
      <c r="H7" s="128">
        <v>844458.64000000013</v>
      </c>
      <c r="I7" s="128">
        <v>6988</v>
      </c>
      <c r="J7" s="128">
        <v>0</v>
      </c>
      <c r="K7" s="128">
        <v>0</v>
      </c>
      <c r="L7" s="5">
        <f t="shared" si="1"/>
        <v>1891446.6400000004</v>
      </c>
      <c r="M7" s="2">
        <f>Form!$E$5</f>
        <v>0</v>
      </c>
      <c r="N7" s="5">
        <v>-267816.12000000069</v>
      </c>
      <c r="O7" s="14">
        <f t="shared" si="3"/>
        <v>-267816.12000000069</v>
      </c>
      <c r="P7" s="15" t="e">
        <f t="shared" si="4"/>
        <v>#DIV/0!</v>
      </c>
      <c r="Q7" s="16" t="e">
        <f t="shared" si="5"/>
        <v>#DIV/0!</v>
      </c>
      <c r="R7" s="247"/>
      <c r="S7" s="248"/>
      <c r="T7" s="249"/>
      <c r="U7" s="14"/>
    </row>
    <row r="8" spans="1:21" ht="15" customHeight="1" x14ac:dyDescent="0.25">
      <c r="A8" s="8">
        <v>1129</v>
      </c>
      <c r="B8" s="126" t="s">
        <v>152</v>
      </c>
      <c r="C8" s="4">
        <f t="shared" si="2"/>
        <v>138046.36920000002</v>
      </c>
      <c r="D8" s="6">
        <v>1</v>
      </c>
      <c r="E8" s="82">
        <f t="shared" si="0"/>
        <v>0.12</v>
      </c>
      <c r="F8" s="128">
        <v>650000.00000000023</v>
      </c>
      <c r="G8" s="128">
        <v>0</v>
      </c>
      <c r="H8" s="128">
        <v>499861.41000000003</v>
      </c>
      <c r="I8" s="128">
        <v>525</v>
      </c>
      <c r="J8" s="128">
        <v>0</v>
      </c>
      <c r="K8" s="128">
        <v>0</v>
      </c>
      <c r="L8" s="5">
        <f t="shared" si="1"/>
        <v>1150386.4100000001</v>
      </c>
      <c r="M8" s="2">
        <f>Form!$E$5</f>
        <v>0</v>
      </c>
      <c r="N8" s="5">
        <v>-6902.1900000009337</v>
      </c>
      <c r="O8" s="14">
        <f t="shared" si="3"/>
        <v>-6902.1900000009337</v>
      </c>
      <c r="P8" s="15" t="e">
        <f t="shared" si="4"/>
        <v>#DIV/0!</v>
      </c>
      <c r="Q8" s="16" t="str">
        <f t="shared" si="5"/>
        <v>Within Tolerance</v>
      </c>
      <c r="R8" s="250"/>
      <c r="S8" s="251"/>
      <c r="T8" s="252"/>
      <c r="U8" s="14"/>
    </row>
    <row r="9" spans="1:21" ht="15" customHeight="1" x14ac:dyDescent="0.25">
      <c r="A9" s="8">
        <v>2000</v>
      </c>
      <c r="B9" s="126" t="s">
        <v>153</v>
      </c>
      <c r="C9" s="4">
        <f t="shared" si="2"/>
        <v>359221.57199999993</v>
      </c>
      <c r="D9" s="6">
        <v>1</v>
      </c>
      <c r="E9" s="82">
        <f t="shared" si="0"/>
        <v>0.12</v>
      </c>
      <c r="F9" s="128">
        <v>2473803.8299999996</v>
      </c>
      <c r="G9" s="128">
        <v>0</v>
      </c>
      <c r="H9" s="128">
        <v>145031.26999999999</v>
      </c>
      <c r="I9" s="128">
        <v>302410</v>
      </c>
      <c r="J9" s="128">
        <v>47692</v>
      </c>
      <c r="K9" s="128">
        <v>24576</v>
      </c>
      <c r="L9" s="5">
        <f t="shared" si="1"/>
        <v>2993513.0999999996</v>
      </c>
      <c r="M9" s="2">
        <f>Form!$E$5</f>
        <v>0</v>
      </c>
      <c r="N9" s="5">
        <v>-389.48000000132015</v>
      </c>
      <c r="O9" s="14">
        <f t="shared" si="3"/>
        <v>-389.48000000132015</v>
      </c>
      <c r="P9" s="15" t="e">
        <f t="shared" si="4"/>
        <v>#DIV/0!</v>
      </c>
      <c r="Q9" s="16" t="str">
        <f t="shared" si="5"/>
        <v>Within Tolerance</v>
      </c>
      <c r="R9" s="250"/>
      <c r="S9" s="251"/>
      <c r="T9" s="252"/>
      <c r="U9" s="14"/>
    </row>
    <row r="10" spans="1:21" ht="15.75" customHeight="1" x14ac:dyDescent="0.25">
      <c r="A10" s="8">
        <v>2002</v>
      </c>
      <c r="B10" s="126" t="s">
        <v>148</v>
      </c>
      <c r="C10" s="4">
        <f t="shared" si="2"/>
        <v>307882.23719999992</v>
      </c>
      <c r="D10" s="6">
        <v>1</v>
      </c>
      <c r="E10" s="82">
        <f t="shared" si="0"/>
        <v>0.12</v>
      </c>
      <c r="F10" s="128">
        <v>2160156.9699999997</v>
      </c>
      <c r="G10" s="128">
        <v>0</v>
      </c>
      <c r="H10" s="128">
        <v>179954.34000000003</v>
      </c>
      <c r="I10" s="128">
        <v>138050</v>
      </c>
      <c r="J10" s="128">
        <v>76874</v>
      </c>
      <c r="K10" s="128">
        <v>10650</v>
      </c>
      <c r="L10" s="5">
        <f t="shared" si="1"/>
        <v>2565685.3099999996</v>
      </c>
      <c r="M10" s="2">
        <f>Form!$E$5</f>
        <v>0</v>
      </c>
      <c r="N10" s="5">
        <v>-295300.90000000037</v>
      </c>
      <c r="O10" s="14">
        <f t="shared" si="3"/>
        <v>-295300.90000000037</v>
      </c>
      <c r="P10" s="15" t="e">
        <f t="shared" si="4"/>
        <v>#DIV/0!</v>
      </c>
      <c r="Q10" s="16" t="e">
        <f t="shared" si="5"/>
        <v>#DIV/0!</v>
      </c>
      <c r="R10" s="250"/>
      <c r="S10" s="251"/>
      <c r="T10" s="252"/>
      <c r="U10" s="14"/>
    </row>
    <row r="11" spans="1:21" x14ac:dyDescent="0.25">
      <c r="A11" s="7">
        <v>2065</v>
      </c>
      <c r="B11" s="126" t="s">
        <v>154</v>
      </c>
      <c r="C11" s="4">
        <f t="shared" si="2"/>
        <v>415681.76519999997</v>
      </c>
      <c r="D11" s="6">
        <v>1</v>
      </c>
      <c r="E11" s="82">
        <f t="shared" si="0"/>
        <v>0.12</v>
      </c>
      <c r="F11" s="128">
        <v>3011496.26</v>
      </c>
      <c r="G11" s="128">
        <v>0</v>
      </c>
      <c r="H11" s="128">
        <v>160835.45000000001</v>
      </c>
      <c r="I11" s="128">
        <v>90200</v>
      </c>
      <c r="J11" s="128">
        <v>126219</v>
      </c>
      <c r="K11" s="128">
        <v>75264</v>
      </c>
      <c r="L11" s="5">
        <f t="shared" si="1"/>
        <v>3464014.71</v>
      </c>
      <c r="M11" s="2">
        <f>Form!$E$5</f>
        <v>0</v>
      </c>
      <c r="N11" s="5">
        <v>-59007.969999999987</v>
      </c>
      <c r="O11" s="14">
        <f t="shared" si="3"/>
        <v>-59007.969999999987</v>
      </c>
      <c r="P11" s="15" t="e">
        <f t="shared" si="4"/>
        <v>#DIV/0!</v>
      </c>
      <c r="Q11" s="16" t="e">
        <f t="shared" si="5"/>
        <v>#DIV/0!</v>
      </c>
      <c r="R11" s="250"/>
      <c r="S11" s="251"/>
      <c r="T11" s="252"/>
      <c r="U11" s="14"/>
    </row>
    <row r="12" spans="1:21" x14ac:dyDescent="0.25">
      <c r="A12" s="7">
        <v>2079</v>
      </c>
      <c r="B12" s="126" t="s">
        <v>328</v>
      </c>
      <c r="C12" s="4">
        <f t="shared" si="2"/>
        <v>406046.5536000001</v>
      </c>
      <c r="D12" s="6">
        <v>1</v>
      </c>
      <c r="E12" s="82">
        <f t="shared" si="0"/>
        <v>0.12</v>
      </c>
      <c r="F12" s="128">
        <v>2866136.4000000004</v>
      </c>
      <c r="G12" s="128">
        <v>0</v>
      </c>
      <c r="H12" s="128">
        <v>135541.20000000001</v>
      </c>
      <c r="I12" s="128">
        <v>223870.68</v>
      </c>
      <c r="J12" s="128">
        <v>100317</v>
      </c>
      <c r="K12" s="128">
        <v>57856</v>
      </c>
      <c r="L12" s="5">
        <f t="shared" si="1"/>
        <v>3383721.2800000007</v>
      </c>
      <c r="M12" s="2">
        <f>Form!$E$5</f>
        <v>0</v>
      </c>
      <c r="N12" s="5">
        <v>-432930.96000000107</v>
      </c>
      <c r="O12" s="14">
        <f t="shared" si="3"/>
        <v>-432930.96000000107</v>
      </c>
      <c r="P12" s="15" t="e">
        <f t="shared" si="4"/>
        <v>#DIV/0!</v>
      </c>
      <c r="Q12" s="16" t="e">
        <f t="shared" si="5"/>
        <v>#DIV/0!</v>
      </c>
      <c r="R12" s="250"/>
      <c r="S12" s="251"/>
      <c r="T12" s="252"/>
      <c r="U12" s="14"/>
    </row>
    <row r="13" spans="1:21" x14ac:dyDescent="0.25">
      <c r="A13" s="7">
        <v>2088</v>
      </c>
      <c r="B13" s="126" t="s">
        <v>6</v>
      </c>
      <c r="C13" s="4">
        <f t="shared" si="2"/>
        <v>149025.46079999997</v>
      </c>
      <c r="D13" s="6">
        <v>1</v>
      </c>
      <c r="E13" s="82">
        <f t="shared" si="0"/>
        <v>0.12</v>
      </c>
      <c r="F13" s="128">
        <v>1077975.3399999999</v>
      </c>
      <c r="G13" s="128">
        <v>0</v>
      </c>
      <c r="H13" s="128">
        <v>8527.4999999999964</v>
      </c>
      <c r="I13" s="128">
        <v>88240.000000000015</v>
      </c>
      <c r="J13" s="128">
        <v>43309</v>
      </c>
      <c r="K13" s="128">
        <v>23827</v>
      </c>
      <c r="L13" s="5">
        <f t="shared" si="1"/>
        <v>1241878.8399999999</v>
      </c>
      <c r="M13" s="2">
        <f>Form!$E$5</f>
        <v>0</v>
      </c>
      <c r="N13" s="5">
        <v>-102229.23999999985</v>
      </c>
      <c r="O13" s="14">
        <f t="shared" si="3"/>
        <v>-102229.23999999985</v>
      </c>
      <c r="P13" s="15" t="e">
        <f t="shared" si="4"/>
        <v>#DIV/0!</v>
      </c>
      <c r="Q13" s="16" t="e">
        <f t="shared" si="5"/>
        <v>#DIV/0!</v>
      </c>
      <c r="R13" s="250"/>
      <c r="S13" s="251"/>
      <c r="T13" s="252"/>
      <c r="U13" s="14"/>
    </row>
    <row r="14" spans="1:21" x14ac:dyDescent="0.25">
      <c r="A14" s="7">
        <v>2089</v>
      </c>
      <c r="B14" s="126" t="s">
        <v>155</v>
      </c>
      <c r="C14" s="4">
        <f t="shared" si="2"/>
        <v>179223.22919999994</v>
      </c>
      <c r="D14" s="6">
        <v>1</v>
      </c>
      <c r="E14" s="82">
        <f t="shared" si="0"/>
        <v>0.12</v>
      </c>
      <c r="F14" s="128">
        <v>1327486.2299999997</v>
      </c>
      <c r="G14" s="128">
        <v>0</v>
      </c>
      <c r="H14" s="128">
        <v>49689.680000000008</v>
      </c>
      <c r="I14" s="128">
        <v>50630.000000000007</v>
      </c>
      <c r="J14" s="128">
        <v>59065</v>
      </c>
      <c r="K14" s="128">
        <v>6656</v>
      </c>
      <c r="L14" s="5">
        <f t="shared" si="1"/>
        <v>1493526.9099999997</v>
      </c>
      <c r="M14" s="2">
        <f>Form!$E$5</f>
        <v>0</v>
      </c>
      <c r="N14" s="5">
        <v>-87630.889999999883</v>
      </c>
      <c r="O14" s="14">
        <f t="shared" si="3"/>
        <v>-87630.889999999883</v>
      </c>
      <c r="P14" s="15" t="e">
        <f t="shared" si="4"/>
        <v>#DIV/0!</v>
      </c>
      <c r="Q14" s="16" t="e">
        <f t="shared" si="5"/>
        <v>#DIV/0!</v>
      </c>
      <c r="R14" s="250"/>
      <c r="S14" s="251"/>
      <c r="T14" s="252"/>
      <c r="U14" s="14"/>
    </row>
    <row r="15" spans="1:21" x14ac:dyDescent="0.25">
      <c r="A15" s="7">
        <v>2094</v>
      </c>
      <c r="B15" s="126" t="s">
        <v>7</v>
      </c>
      <c r="C15" s="4">
        <f t="shared" si="2"/>
        <v>144443.64599999998</v>
      </c>
      <c r="D15" s="6">
        <v>1</v>
      </c>
      <c r="E15" s="82">
        <f t="shared" si="0"/>
        <v>0.12</v>
      </c>
      <c r="F15" s="128">
        <v>1045633.2699999998</v>
      </c>
      <c r="G15" s="128">
        <v>0</v>
      </c>
      <c r="H15" s="128">
        <v>47842.780000000006</v>
      </c>
      <c r="I15" s="128">
        <v>35750</v>
      </c>
      <c r="J15" s="128">
        <v>57255</v>
      </c>
      <c r="K15" s="128">
        <v>17216</v>
      </c>
      <c r="L15" s="5">
        <f t="shared" si="1"/>
        <v>1203697.0499999998</v>
      </c>
      <c r="M15" s="2">
        <f>Form!$E$5</f>
        <v>0</v>
      </c>
      <c r="N15" s="5">
        <v>-79719.930000000575</v>
      </c>
      <c r="O15" s="14">
        <f t="shared" si="3"/>
        <v>-79719.930000000575</v>
      </c>
      <c r="P15" s="15" t="e">
        <f t="shared" si="4"/>
        <v>#DIV/0!</v>
      </c>
      <c r="Q15" s="16" t="e">
        <f t="shared" si="5"/>
        <v>#DIV/0!</v>
      </c>
      <c r="R15" s="250"/>
      <c r="S15" s="251"/>
      <c r="T15" s="252"/>
      <c r="U15" s="14"/>
    </row>
    <row r="16" spans="1:21" x14ac:dyDescent="0.25">
      <c r="A16" s="7">
        <v>2095</v>
      </c>
      <c r="B16" s="126" t="s">
        <v>156</v>
      </c>
      <c r="C16" s="4">
        <f t="shared" si="2"/>
        <v>298020.60600000003</v>
      </c>
      <c r="D16" s="6">
        <v>1</v>
      </c>
      <c r="E16" s="82">
        <f t="shared" si="0"/>
        <v>0.12</v>
      </c>
      <c r="F16" s="128">
        <v>2135136.9400000004</v>
      </c>
      <c r="G16" s="128">
        <v>0</v>
      </c>
      <c r="H16" s="128">
        <v>153953.10999999999</v>
      </c>
      <c r="I16" s="128">
        <v>90490.000000000029</v>
      </c>
      <c r="J16" s="128">
        <v>69877</v>
      </c>
      <c r="K16" s="128">
        <v>34048</v>
      </c>
      <c r="L16" s="5">
        <f t="shared" si="1"/>
        <v>2483505.0500000003</v>
      </c>
      <c r="M16" s="2">
        <f>Form!$E$5</f>
        <v>0</v>
      </c>
      <c r="N16" s="5">
        <v>-45923.110000001376</v>
      </c>
      <c r="O16" s="14">
        <f t="shared" si="3"/>
        <v>-45923.110000001376</v>
      </c>
      <c r="P16" s="15" t="e">
        <f t="shared" si="4"/>
        <v>#DIV/0!</v>
      </c>
      <c r="Q16" s="16" t="e">
        <f t="shared" si="5"/>
        <v>#DIV/0!</v>
      </c>
      <c r="R16" s="250"/>
      <c r="S16" s="251"/>
      <c r="T16" s="252"/>
      <c r="U16" s="14"/>
    </row>
    <row r="17" spans="1:21" x14ac:dyDescent="0.25">
      <c r="A17" s="7">
        <v>2109</v>
      </c>
      <c r="B17" s="126" t="s">
        <v>8</v>
      </c>
      <c r="C17" s="4">
        <f t="shared" si="2"/>
        <v>153531.42600000001</v>
      </c>
      <c r="D17" s="6">
        <v>1</v>
      </c>
      <c r="E17" s="82">
        <f t="shared" si="0"/>
        <v>0.12</v>
      </c>
      <c r="F17" s="128">
        <v>1053925.32</v>
      </c>
      <c r="G17" s="128">
        <v>0</v>
      </c>
      <c r="H17" s="128">
        <v>103338.23000000001</v>
      </c>
      <c r="I17" s="128">
        <v>46189.999999999993</v>
      </c>
      <c r="J17" s="128">
        <v>53645</v>
      </c>
      <c r="K17" s="128">
        <v>22330</v>
      </c>
      <c r="L17" s="5">
        <f t="shared" si="1"/>
        <v>1279428.55</v>
      </c>
      <c r="M17" s="2">
        <f>Form!$E$5</f>
        <v>0</v>
      </c>
      <c r="N17" s="5">
        <v>-49586.819999999643</v>
      </c>
      <c r="O17" s="14">
        <f t="shared" si="3"/>
        <v>-49586.819999999643</v>
      </c>
      <c r="P17" s="15" t="e">
        <f t="shared" si="4"/>
        <v>#DIV/0!</v>
      </c>
      <c r="Q17" s="16" t="e">
        <f t="shared" si="5"/>
        <v>#DIV/0!</v>
      </c>
      <c r="R17" s="250"/>
      <c r="S17" s="251"/>
      <c r="T17" s="252"/>
      <c r="U17" s="14"/>
    </row>
    <row r="18" spans="1:21" ht="15.6" thickBot="1" x14ac:dyDescent="0.3">
      <c r="A18" s="7">
        <v>2116</v>
      </c>
      <c r="B18" s="126" t="s">
        <v>9</v>
      </c>
      <c r="C18" s="4">
        <f t="shared" si="2"/>
        <v>204899.17319999999</v>
      </c>
      <c r="D18" s="6">
        <v>1</v>
      </c>
      <c r="E18" s="82">
        <f t="shared" si="0"/>
        <v>0.12</v>
      </c>
      <c r="F18" s="128">
        <v>1431092.96</v>
      </c>
      <c r="G18" s="128">
        <v>0</v>
      </c>
      <c r="H18" s="128">
        <v>57882.15</v>
      </c>
      <c r="I18" s="128">
        <v>153320</v>
      </c>
      <c r="J18" s="128">
        <v>44489</v>
      </c>
      <c r="K18" s="128">
        <v>20709</v>
      </c>
      <c r="L18" s="5">
        <f t="shared" si="1"/>
        <v>1707493.1099999999</v>
      </c>
      <c r="M18" s="2">
        <f>Form!$E$5</f>
        <v>0</v>
      </c>
      <c r="N18" s="5">
        <v>-30064.600000000009</v>
      </c>
      <c r="O18" s="14">
        <f t="shared" si="3"/>
        <v>-30064.600000000009</v>
      </c>
      <c r="P18" s="15" t="e">
        <f t="shared" si="4"/>
        <v>#DIV/0!</v>
      </c>
      <c r="Q18" s="16" t="e">
        <f t="shared" si="5"/>
        <v>#DIV/0!</v>
      </c>
      <c r="R18" s="253"/>
      <c r="S18" s="254"/>
      <c r="T18" s="255"/>
      <c r="U18" s="14"/>
    </row>
    <row r="19" spans="1:21" x14ac:dyDescent="0.25">
      <c r="A19" s="7">
        <v>2120</v>
      </c>
      <c r="B19" s="126" t="s">
        <v>10</v>
      </c>
      <c r="C19" s="4">
        <f t="shared" si="2"/>
        <v>150578.58959999998</v>
      </c>
      <c r="D19" s="6">
        <v>1</v>
      </c>
      <c r="E19" s="82">
        <f t="shared" si="0"/>
        <v>0.12</v>
      </c>
      <c r="F19" s="128">
        <v>1104029.1099999999</v>
      </c>
      <c r="G19" s="128">
        <v>0</v>
      </c>
      <c r="H19" s="128">
        <v>12164.470000000003</v>
      </c>
      <c r="I19" s="128">
        <v>71040</v>
      </c>
      <c r="J19" s="128">
        <v>51495</v>
      </c>
      <c r="K19" s="128">
        <v>16093</v>
      </c>
      <c r="L19" s="5">
        <f t="shared" si="1"/>
        <v>1254821.5799999998</v>
      </c>
      <c r="M19" s="2">
        <f>Form!$E$5</f>
        <v>0</v>
      </c>
      <c r="N19" s="5">
        <v>-79283.819999999847</v>
      </c>
      <c r="O19" s="14">
        <f t="shared" si="3"/>
        <v>-79283.819999999847</v>
      </c>
      <c r="P19" s="15" t="e">
        <f t="shared" si="4"/>
        <v>#DIV/0!</v>
      </c>
      <c r="Q19" s="16" t="e">
        <f t="shared" si="5"/>
        <v>#DIV/0!</v>
      </c>
      <c r="U19" s="14"/>
    </row>
    <row r="20" spans="1:21" x14ac:dyDescent="0.25">
      <c r="A20" s="7">
        <v>2128</v>
      </c>
      <c r="B20" s="126" t="s">
        <v>11</v>
      </c>
      <c r="C20" s="4">
        <f t="shared" si="2"/>
        <v>142634.92560000005</v>
      </c>
      <c r="D20" s="6">
        <v>1</v>
      </c>
      <c r="E20" s="82">
        <f t="shared" si="0"/>
        <v>0.12</v>
      </c>
      <c r="F20" s="128">
        <v>1032404.8900000002</v>
      </c>
      <c r="G20" s="128">
        <v>0</v>
      </c>
      <c r="H20" s="128">
        <v>24354.489999999994</v>
      </c>
      <c r="I20" s="128">
        <v>60290</v>
      </c>
      <c r="J20" s="128">
        <v>50118</v>
      </c>
      <c r="K20" s="128">
        <v>21457</v>
      </c>
      <c r="L20" s="5">
        <f t="shared" si="1"/>
        <v>1188624.3800000004</v>
      </c>
      <c r="M20" s="2">
        <f>Form!$E$5</f>
        <v>0</v>
      </c>
      <c r="N20" s="5">
        <v>-84516.84999999986</v>
      </c>
      <c r="O20" s="14">
        <f t="shared" si="3"/>
        <v>-84516.84999999986</v>
      </c>
      <c r="P20" s="15" t="e">
        <f t="shared" si="4"/>
        <v>#DIV/0!</v>
      </c>
      <c r="Q20" s="16" t="e">
        <f t="shared" si="5"/>
        <v>#DIV/0!</v>
      </c>
      <c r="R20" s="79"/>
      <c r="U20" s="14"/>
    </row>
    <row r="21" spans="1:21" x14ac:dyDescent="0.25">
      <c r="A21" s="7">
        <v>2130</v>
      </c>
      <c r="B21" s="126" t="s">
        <v>12</v>
      </c>
      <c r="C21" s="4">
        <f t="shared" si="2"/>
        <v>132264.29999999996</v>
      </c>
      <c r="D21" s="6">
        <v>1</v>
      </c>
      <c r="E21" s="82">
        <f t="shared" si="0"/>
        <v>0.12</v>
      </c>
      <c r="F21" s="128">
        <v>909549.87999999977</v>
      </c>
      <c r="G21" s="128">
        <v>0</v>
      </c>
      <c r="H21" s="128">
        <v>50348.619999999995</v>
      </c>
      <c r="I21" s="128">
        <v>78780.000000000015</v>
      </c>
      <c r="J21" s="128">
        <v>38948</v>
      </c>
      <c r="K21" s="128">
        <v>24576</v>
      </c>
      <c r="L21" s="5">
        <f t="shared" si="1"/>
        <v>1102202.4999999998</v>
      </c>
      <c r="M21" s="2">
        <f>Form!$E$5</f>
        <v>0</v>
      </c>
      <c r="N21" s="5">
        <v>-25783.74999999968</v>
      </c>
      <c r="O21" s="14">
        <f t="shared" si="3"/>
        <v>-25783.74999999968</v>
      </c>
      <c r="P21" s="15" t="e">
        <f t="shared" si="4"/>
        <v>#DIV/0!</v>
      </c>
      <c r="Q21" s="16" t="e">
        <f t="shared" si="5"/>
        <v>#DIV/0!</v>
      </c>
      <c r="U21" s="14"/>
    </row>
    <row r="22" spans="1:21" x14ac:dyDescent="0.25">
      <c r="A22" s="7">
        <v>2132</v>
      </c>
      <c r="B22" s="126" t="s">
        <v>157</v>
      </c>
      <c r="C22" s="4">
        <f t="shared" si="2"/>
        <v>153180.23640000002</v>
      </c>
      <c r="D22" s="6">
        <v>1</v>
      </c>
      <c r="E22" s="82">
        <f t="shared" si="0"/>
        <v>0.12</v>
      </c>
      <c r="F22" s="128">
        <v>1012940.4300000002</v>
      </c>
      <c r="G22" s="128">
        <v>0</v>
      </c>
      <c r="H22" s="128">
        <v>106876.54000000002</v>
      </c>
      <c r="I22" s="128">
        <v>99620</v>
      </c>
      <c r="J22" s="128">
        <v>32739</v>
      </c>
      <c r="K22" s="128">
        <v>24326</v>
      </c>
      <c r="L22" s="5">
        <f t="shared" si="1"/>
        <v>1276501.9700000002</v>
      </c>
      <c r="M22" s="2">
        <f>Form!$E$5</f>
        <v>0</v>
      </c>
      <c r="N22" s="5">
        <v>-151379.99999999991</v>
      </c>
      <c r="O22" s="14">
        <f t="shared" si="3"/>
        <v>-151379.99999999991</v>
      </c>
      <c r="P22" s="15" t="e">
        <f t="shared" si="4"/>
        <v>#DIV/0!</v>
      </c>
      <c r="Q22" s="16" t="e">
        <f t="shared" si="5"/>
        <v>#DIV/0!</v>
      </c>
      <c r="U22" s="14"/>
    </row>
    <row r="23" spans="1:21" x14ac:dyDescent="0.25">
      <c r="A23" s="7">
        <v>2136</v>
      </c>
      <c r="B23" s="126" t="s">
        <v>13</v>
      </c>
      <c r="C23" s="4">
        <f t="shared" si="2"/>
        <v>133728.16200000001</v>
      </c>
      <c r="D23" s="6">
        <v>1</v>
      </c>
      <c r="E23" s="82">
        <f t="shared" si="0"/>
        <v>0.12</v>
      </c>
      <c r="F23" s="128">
        <v>958525.08</v>
      </c>
      <c r="G23" s="128">
        <v>0</v>
      </c>
      <c r="H23" s="128">
        <v>47757.270000000011</v>
      </c>
      <c r="I23" s="128">
        <v>43320.000000000007</v>
      </c>
      <c r="J23" s="128">
        <v>42843</v>
      </c>
      <c r="K23" s="128">
        <v>21956</v>
      </c>
      <c r="L23" s="5">
        <f t="shared" si="1"/>
        <v>1114401.3500000001</v>
      </c>
      <c r="M23" s="2">
        <f>Form!$E$5</f>
        <v>0</v>
      </c>
      <c r="N23" s="5">
        <v>-40953.490000000776</v>
      </c>
      <c r="O23" s="14">
        <f t="shared" si="3"/>
        <v>-40953.490000000776</v>
      </c>
      <c r="P23" s="15" t="e">
        <f t="shared" si="4"/>
        <v>#DIV/0!</v>
      </c>
      <c r="Q23" s="16" t="e">
        <f t="shared" si="5"/>
        <v>#DIV/0!</v>
      </c>
      <c r="U23" s="14"/>
    </row>
    <row r="24" spans="1:21" x14ac:dyDescent="0.25">
      <c r="A24" s="7">
        <v>2137</v>
      </c>
      <c r="B24" s="126" t="s">
        <v>14</v>
      </c>
      <c r="C24" s="4">
        <f t="shared" si="2"/>
        <v>126120.2472</v>
      </c>
      <c r="D24" s="6">
        <v>1</v>
      </c>
      <c r="E24" s="82">
        <f t="shared" si="0"/>
        <v>0.12</v>
      </c>
      <c r="F24" s="128">
        <v>844390.02</v>
      </c>
      <c r="G24" s="128">
        <v>0</v>
      </c>
      <c r="H24" s="128">
        <v>107950.04000000001</v>
      </c>
      <c r="I24" s="128">
        <v>52500.000000000007</v>
      </c>
      <c r="J24" s="128">
        <v>35309</v>
      </c>
      <c r="K24" s="128">
        <v>10853</v>
      </c>
      <c r="L24" s="5">
        <f t="shared" si="1"/>
        <v>1051002.06</v>
      </c>
      <c r="M24" s="2">
        <f>Form!$E$5</f>
        <v>0</v>
      </c>
      <c r="N24" s="5">
        <v>-3089.6399999997666</v>
      </c>
      <c r="O24" s="14">
        <f t="shared" si="3"/>
        <v>-3089.6399999997666</v>
      </c>
      <c r="P24" s="15" t="e">
        <f t="shared" si="4"/>
        <v>#DIV/0!</v>
      </c>
      <c r="Q24" s="16" t="str">
        <f t="shared" si="5"/>
        <v>Within Tolerance</v>
      </c>
      <c r="U24" s="14"/>
    </row>
    <row r="25" spans="1:21" x14ac:dyDescent="0.25">
      <c r="A25" s="7">
        <v>2138</v>
      </c>
      <c r="B25" s="126" t="s">
        <v>15</v>
      </c>
      <c r="C25" s="4">
        <f t="shared" si="2"/>
        <v>206208.75600000002</v>
      </c>
      <c r="D25" s="6">
        <v>1</v>
      </c>
      <c r="E25" s="82">
        <f t="shared" si="0"/>
        <v>0.12</v>
      </c>
      <c r="F25" s="128">
        <v>1510426.5100000002</v>
      </c>
      <c r="G25" s="128">
        <v>0</v>
      </c>
      <c r="H25" s="128">
        <v>40380.790000000008</v>
      </c>
      <c r="I25" s="128">
        <v>69100</v>
      </c>
      <c r="J25" s="128">
        <v>69059</v>
      </c>
      <c r="K25" s="128">
        <v>29440</v>
      </c>
      <c r="L25" s="5">
        <f t="shared" si="1"/>
        <v>1718406.3000000003</v>
      </c>
      <c r="M25" s="2">
        <f>Form!$E$5</f>
        <v>0</v>
      </c>
      <c r="N25" s="5">
        <v>-213564.39999999979</v>
      </c>
      <c r="O25" s="14">
        <f t="shared" si="3"/>
        <v>-213564.39999999979</v>
      </c>
      <c r="P25" s="15" t="e">
        <f t="shared" si="4"/>
        <v>#DIV/0!</v>
      </c>
      <c r="Q25" s="16" t="e">
        <f t="shared" si="5"/>
        <v>#DIV/0!</v>
      </c>
      <c r="U25" s="14"/>
    </row>
    <row r="26" spans="1:21" x14ac:dyDescent="0.25">
      <c r="A26" s="7">
        <v>2139</v>
      </c>
      <c r="B26" s="126" t="s">
        <v>16</v>
      </c>
      <c r="C26" s="4">
        <f t="shared" si="2"/>
        <v>262618.51919999998</v>
      </c>
      <c r="D26" s="6">
        <v>1</v>
      </c>
      <c r="E26" s="82">
        <f t="shared" si="0"/>
        <v>0.12</v>
      </c>
      <c r="F26" s="128">
        <v>1922699.4700000002</v>
      </c>
      <c r="G26" s="128">
        <v>0</v>
      </c>
      <c r="H26" s="128">
        <v>79488.19</v>
      </c>
      <c r="I26" s="128">
        <v>71350.000000000015</v>
      </c>
      <c r="J26" s="128">
        <v>72454</v>
      </c>
      <c r="K26" s="128">
        <v>42496</v>
      </c>
      <c r="L26" s="5">
        <f t="shared" si="1"/>
        <v>2188487.66</v>
      </c>
      <c r="M26" s="2">
        <f>Form!$E$5</f>
        <v>0</v>
      </c>
      <c r="N26" s="5">
        <v>-168952.45000000022</v>
      </c>
      <c r="O26" s="14">
        <f t="shared" si="3"/>
        <v>-168952.45000000022</v>
      </c>
      <c r="P26" s="15" t="e">
        <f t="shared" si="4"/>
        <v>#DIV/0!</v>
      </c>
      <c r="Q26" s="16" t="e">
        <f t="shared" si="5"/>
        <v>#DIV/0!</v>
      </c>
      <c r="U26" s="14"/>
    </row>
    <row r="27" spans="1:21" x14ac:dyDescent="0.25">
      <c r="A27" s="7">
        <v>2142</v>
      </c>
      <c r="B27" s="126" t="s">
        <v>17</v>
      </c>
      <c r="C27" s="4">
        <f t="shared" si="2"/>
        <v>126066.37679999998</v>
      </c>
      <c r="D27" s="6">
        <v>1</v>
      </c>
      <c r="E27" s="82">
        <f t="shared" si="0"/>
        <v>0.12</v>
      </c>
      <c r="F27" s="128">
        <v>873428.57</v>
      </c>
      <c r="G27" s="128">
        <v>0</v>
      </c>
      <c r="H27" s="128">
        <v>68604.569999999992</v>
      </c>
      <c r="I27" s="128">
        <v>50320.000000000015</v>
      </c>
      <c r="J27" s="128">
        <v>36618</v>
      </c>
      <c r="K27" s="128">
        <v>21582</v>
      </c>
      <c r="L27" s="5">
        <f t="shared" si="1"/>
        <v>1050553.1399999999</v>
      </c>
      <c r="M27" s="2">
        <f>Form!$E$5</f>
        <v>0</v>
      </c>
      <c r="N27" s="5">
        <v>-59030.159999999756</v>
      </c>
      <c r="O27" s="14">
        <f t="shared" si="3"/>
        <v>-59030.159999999756</v>
      </c>
      <c r="P27" s="15" t="e">
        <f t="shared" si="4"/>
        <v>#DIV/0!</v>
      </c>
      <c r="Q27" s="16" t="e">
        <f t="shared" si="5"/>
        <v>#DIV/0!</v>
      </c>
      <c r="U27" s="14"/>
    </row>
    <row r="28" spans="1:21" x14ac:dyDescent="0.25">
      <c r="A28" s="7">
        <v>2147</v>
      </c>
      <c r="B28" s="126" t="s">
        <v>18</v>
      </c>
      <c r="C28" s="4">
        <f t="shared" si="2"/>
        <v>95437.819199999984</v>
      </c>
      <c r="D28" s="6">
        <v>1</v>
      </c>
      <c r="E28" s="82">
        <f t="shared" si="0"/>
        <v>0.12</v>
      </c>
      <c r="F28" s="128">
        <v>681517.78999999992</v>
      </c>
      <c r="G28" s="128">
        <v>0</v>
      </c>
      <c r="H28" s="128">
        <v>42292.37000000001</v>
      </c>
      <c r="I28" s="128">
        <v>26640</v>
      </c>
      <c r="J28" s="128">
        <v>29645</v>
      </c>
      <c r="K28" s="128">
        <v>15220</v>
      </c>
      <c r="L28" s="5">
        <f t="shared" si="1"/>
        <v>795315.15999999992</v>
      </c>
      <c r="M28" s="2">
        <f>Form!$E$5</f>
        <v>0</v>
      </c>
      <c r="N28" s="5">
        <v>-78934.330000000453</v>
      </c>
      <c r="O28" s="14">
        <f t="shared" si="3"/>
        <v>-78934.330000000453</v>
      </c>
      <c r="P28" s="15" t="e">
        <f t="shared" si="4"/>
        <v>#DIV/0!</v>
      </c>
      <c r="Q28" s="16" t="e">
        <f t="shared" si="5"/>
        <v>#DIV/0!</v>
      </c>
      <c r="U28" s="14"/>
    </row>
    <row r="29" spans="1:21" x14ac:dyDescent="0.25">
      <c r="A29" s="7">
        <v>2148</v>
      </c>
      <c r="B29" s="126" t="s">
        <v>19</v>
      </c>
      <c r="C29" s="4">
        <f t="shared" si="2"/>
        <v>68223.66840000001</v>
      </c>
      <c r="D29" s="6">
        <v>1</v>
      </c>
      <c r="E29" s="82">
        <f t="shared" si="0"/>
        <v>0.12</v>
      </c>
      <c r="F29" s="128">
        <v>481935.16000000009</v>
      </c>
      <c r="G29" s="128">
        <v>0</v>
      </c>
      <c r="H29" s="128">
        <v>19431.780000000002</v>
      </c>
      <c r="I29" s="128">
        <v>24666.63</v>
      </c>
      <c r="J29" s="128">
        <v>28400</v>
      </c>
      <c r="K29" s="128">
        <v>14097</v>
      </c>
      <c r="L29" s="5">
        <f t="shared" si="1"/>
        <v>568530.57000000007</v>
      </c>
      <c r="M29" s="2">
        <f>Form!$E$5</f>
        <v>0</v>
      </c>
      <c r="N29" s="5">
        <v>-64079.130000000368</v>
      </c>
      <c r="O29" s="14">
        <f t="shared" si="3"/>
        <v>-64079.130000000368</v>
      </c>
      <c r="P29" s="15" t="e">
        <f t="shared" si="4"/>
        <v>#DIV/0!</v>
      </c>
      <c r="Q29" s="16" t="e">
        <f t="shared" si="5"/>
        <v>#DIV/0!</v>
      </c>
      <c r="U29" s="14"/>
    </row>
    <row r="30" spans="1:21" x14ac:dyDescent="0.25">
      <c r="A30" s="7">
        <v>2155</v>
      </c>
      <c r="B30" s="126" t="s">
        <v>158</v>
      </c>
      <c r="C30" s="4">
        <f t="shared" si="2"/>
        <v>315616.21679999994</v>
      </c>
      <c r="D30" s="6">
        <v>1</v>
      </c>
      <c r="E30" s="82">
        <f t="shared" si="0"/>
        <v>0.12</v>
      </c>
      <c r="F30" s="128">
        <v>2074880.67</v>
      </c>
      <c r="G30" s="128">
        <v>0</v>
      </c>
      <c r="H30" s="128">
        <v>338121.47</v>
      </c>
      <c r="I30" s="128">
        <v>98690</v>
      </c>
      <c r="J30" s="128">
        <v>88491</v>
      </c>
      <c r="K30" s="128">
        <v>29952</v>
      </c>
      <c r="L30" s="5">
        <f t="shared" si="1"/>
        <v>2630135.1399999997</v>
      </c>
      <c r="M30" s="2">
        <f>Form!$E$5</f>
        <v>0</v>
      </c>
      <c r="N30" s="5">
        <v>-44342.839999999982</v>
      </c>
      <c r="O30" s="14">
        <f t="shared" si="3"/>
        <v>-44342.839999999982</v>
      </c>
      <c r="P30" s="15" t="e">
        <f t="shared" si="4"/>
        <v>#DIV/0!</v>
      </c>
      <c r="Q30" s="16" t="e">
        <f t="shared" si="5"/>
        <v>#DIV/0!</v>
      </c>
      <c r="U30" s="14"/>
    </row>
    <row r="31" spans="1:21" x14ac:dyDescent="0.25">
      <c r="A31" s="7">
        <v>2156</v>
      </c>
      <c r="B31" s="126" t="s">
        <v>20</v>
      </c>
      <c r="C31" s="4">
        <f t="shared" si="2"/>
        <v>272592.16680000001</v>
      </c>
      <c r="D31" s="6">
        <v>1</v>
      </c>
      <c r="E31" s="82">
        <f t="shared" si="0"/>
        <v>0.12</v>
      </c>
      <c r="F31" s="128">
        <v>2001884.1400000001</v>
      </c>
      <c r="G31" s="128">
        <v>0</v>
      </c>
      <c r="H31" s="128">
        <v>67766.25</v>
      </c>
      <c r="I31" s="128">
        <v>72760</v>
      </c>
      <c r="J31" s="128">
        <v>84647</v>
      </c>
      <c r="K31" s="128">
        <v>44544</v>
      </c>
      <c r="L31" s="5">
        <f t="shared" si="1"/>
        <v>2271601.39</v>
      </c>
      <c r="M31" s="2">
        <f>Form!$E$5</f>
        <v>0</v>
      </c>
      <c r="N31" s="5">
        <v>-237844.03999999879</v>
      </c>
      <c r="O31" s="14">
        <f t="shared" si="3"/>
        <v>-237844.03999999879</v>
      </c>
      <c r="P31" s="15" t="e">
        <f t="shared" si="4"/>
        <v>#DIV/0!</v>
      </c>
      <c r="Q31" s="16" t="e">
        <f t="shared" si="5"/>
        <v>#DIV/0!</v>
      </c>
      <c r="U31" s="14"/>
    </row>
    <row r="32" spans="1:21" x14ac:dyDescent="0.25">
      <c r="A32" s="7">
        <v>2161</v>
      </c>
      <c r="B32" s="126" t="s">
        <v>21</v>
      </c>
      <c r="C32" s="4">
        <f t="shared" si="2"/>
        <v>170996.71439999994</v>
      </c>
      <c r="D32" s="6">
        <v>1</v>
      </c>
      <c r="E32" s="82">
        <f t="shared" si="0"/>
        <v>0.12</v>
      </c>
      <c r="F32" s="128">
        <v>1111680.9699999997</v>
      </c>
      <c r="G32" s="128">
        <v>0</v>
      </c>
      <c r="H32" s="128">
        <v>172227.65</v>
      </c>
      <c r="I32" s="128">
        <v>60680.000000000007</v>
      </c>
      <c r="J32" s="128">
        <v>57804</v>
      </c>
      <c r="K32" s="128">
        <v>22580</v>
      </c>
      <c r="L32" s="5">
        <f t="shared" si="1"/>
        <v>1424972.6199999996</v>
      </c>
      <c r="M32" s="2">
        <f>Form!$E$5</f>
        <v>0</v>
      </c>
      <c r="N32" s="5">
        <v>-116061.92999999993</v>
      </c>
      <c r="O32" s="14">
        <f t="shared" si="3"/>
        <v>-116061.92999999993</v>
      </c>
      <c r="P32" s="15" t="e">
        <f t="shared" si="4"/>
        <v>#DIV/0!</v>
      </c>
      <c r="Q32" s="16" t="e">
        <f t="shared" si="5"/>
        <v>#DIV/0!</v>
      </c>
      <c r="U32" s="14"/>
    </row>
    <row r="33" spans="1:21" x14ac:dyDescent="0.25">
      <c r="A33" s="7">
        <v>2163</v>
      </c>
      <c r="B33" s="126" t="s">
        <v>22</v>
      </c>
      <c r="C33" s="4">
        <f t="shared" si="2"/>
        <v>169955.52239999996</v>
      </c>
      <c r="D33" s="6">
        <v>1</v>
      </c>
      <c r="E33" s="82">
        <f t="shared" si="0"/>
        <v>0.12</v>
      </c>
      <c r="F33" s="128">
        <v>1109467.3599999999</v>
      </c>
      <c r="G33" s="128">
        <v>0</v>
      </c>
      <c r="H33" s="128">
        <v>180156.66</v>
      </c>
      <c r="I33" s="128">
        <v>62860</v>
      </c>
      <c r="J33" s="128">
        <v>47095</v>
      </c>
      <c r="K33" s="128">
        <v>16717</v>
      </c>
      <c r="L33" s="5">
        <f t="shared" si="1"/>
        <v>1416296.0199999998</v>
      </c>
      <c r="M33" s="2">
        <f>Form!$E$5</f>
        <v>0</v>
      </c>
      <c r="N33" s="5">
        <v>-59773.619999999588</v>
      </c>
      <c r="O33" s="14">
        <f t="shared" si="3"/>
        <v>-59773.619999999588</v>
      </c>
      <c r="P33" s="15" t="e">
        <f t="shared" si="4"/>
        <v>#DIV/0!</v>
      </c>
      <c r="Q33" s="16" t="e">
        <f t="shared" si="5"/>
        <v>#DIV/0!</v>
      </c>
      <c r="U33" s="14"/>
    </row>
    <row r="34" spans="1:21" x14ac:dyDescent="0.25">
      <c r="A34" s="7">
        <v>2164</v>
      </c>
      <c r="B34" s="126" t="s">
        <v>23</v>
      </c>
      <c r="C34" s="4">
        <f t="shared" si="2"/>
        <v>134729.34</v>
      </c>
      <c r="D34" s="6">
        <v>1</v>
      </c>
      <c r="E34" s="82">
        <f t="shared" si="0"/>
        <v>0.12</v>
      </c>
      <c r="F34" s="128">
        <v>941937.34999999986</v>
      </c>
      <c r="G34" s="128">
        <v>0</v>
      </c>
      <c r="H34" s="128">
        <v>62630.15</v>
      </c>
      <c r="I34" s="128">
        <v>49930.000000000007</v>
      </c>
      <c r="J34" s="128">
        <v>47538</v>
      </c>
      <c r="K34" s="128">
        <v>20709</v>
      </c>
      <c r="L34" s="5">
        <f t="shared" si="1"/>
        <v>1122744.5</v>
      </c>
      <c r="M34" s="2">
        <f>Form!$E$5</f>
        <v>0</v>
      </c>
      <c r="N34" s="5">
        <v>-71431.569999999963</v>
      </c>
      <c r="O34" s="14">
        <f t="shared" si="3"/>
        <v>-71431.569999999963</v>
      </c>
      <c r="P34" s="15" t="e">
        <f t="shared" si="4"/>
        <v>#DIV/0!</v>
      </c>
      <c r="Q34" s="16" t="e">
        <f t="shared" si="5"/>
        <v>#DIV/0!</v>
      </c>
      <c r="U34" s="14"/>
    </row>
    <row r="35" spans="1:21" x14ac:dyDescent="0.25">
      <c r="A35" s="7">
        <v>2165</v>
      </c>
      <c r="B35" s="126" t="s">
        <v>24</v>
      </c>
      <c r="C35" s="4">
        <f t="shared" si="2"/>
        <v>276041.34480000002</v>
      </c>
      <c r="D35" s="6">
        <v>1</v>
      </c>
      <c r="E35" s="82">
        <f t="shared" si="0"/>
        <v>0.12</v>
      </c>
      <c r="F35" s="128">
        <v>1927295.98</v>
      </c>
      <c r="G35" s="128">
        <v>0</v>
      </c>
      <c r="H35" s="128">
        <v>128259.56</v>
      </c>
      <c r="I35" s="128">
        <v>133290.00000000003</v>
      </c>
      <c r="J35" s="128">
        <v>70581</v>
      </c>
      <c r="K35" s="128">
        <v>40918</v>
      </c>
      <c r="L35" s="5">
        <f t="shared" si="1"/>
        <v>2300344.54</v>
      </c>
      <c r="M35" s="2">
        <f>Form!$E$5</f>
        <v>0</v>
      </c>
      <c r="N35" s="5">
        <v>-62511.360000000044</v>
      </c>
      <c r="O35" s="14">
        <f t="shared" si="3"/>
        <v>-62511.360000000044</v>
      </c>
      <c r="P35" s="15" t="e">
        <f t="shared" si="4"/>
        <v>#DIV/0!</v>
      </c>
      <c r="Q35" s="16" t="e">
        <f t="shared" si="5"/>
        <v>#DIV/0!</v>
      </c>
      <c r="U35" s="14"/>
    </row>
    <row r="36" spans="1:21" x14ac:dyDescent="0.25">
      <c r="A36" s="7">
        <v>2166</v>
      </c>
      <c r="B36" s="126" t="s">
        <v>25</v>
      </c>
      <c r="C36" s="4">
        <f t="shared" si="2"/>
        <v>94133.401199999993</v>
      </c>
      <c r="D36" s="6">
        <v>1</v>
      </c>
      <c r="E36" s="82">
        <f t="shared" si="0"/>
        <v>0.12</v>
      </c>
      <c r="F36" s="128">
        <v>629822.96</v>
      </c>
      <c r="G36" s="128">
        <v>0</v>
      </c>
      <c r="H36" s="128">
        <v>71051.050000000017</v>
      </c>
      <c r="I36" s="128">
        <v>42140.000000000007</v>
      </c>
      <c r="J36" s="128">
        <v>27708</v>
      </c>
      <c r="K36" s="128">
        <v>13723</v>
      </c>
      <c r="L36" s="5">
        <f t="shared" si="1"/>
        <v>784445.01</v>
      </c>
      <c r="M36" s="2">
        <f>Form!$E$5</f>
        <v>0</v>
      </c>
      <c r="N36" s="5">
        <v>-63312.659999999873</v>
      </c>
      <c r="O36" s="14">
        <f t="shared" si="3"/>
        <v>-63312.659999999873</v>
      </c>
      <c r="P36" s="15" t="e">
        <f t="shared" si="4"/>
        <v>#DIV/0!</v>
      </c>
      <c r="Q36" s="16" t="e">
        <f t="shared" si="5"/>
        <v>#DIV/0!</v>
      </c>
      <c r="U36" s="14"/>
    </row>
    <row r="37" spans="1:21" x14ac:dyDescent="0.25">
      <c r="A37" s="7">
        <v>2167</v>
      </c>
      <c r="B37" s="126" t="s">
        <v>26</v>
      </c>
      <c r="C37" s="4">
        <f t="shared" si="2"/>
        <v>119525.352</v>
      </c>
      <c r="D37" s="6">
        <v>1</v>
      </c>
      <c r="E37" s="82">
        <f t="shared" si="0"/>
        <v>0.12</v>
      </c>
      <c r="F37" s="128">
        <v>849373.1</v>
      </c>
      <c r="G37" s="128">
        <v>0</v>
      </c>
      <c r="H37" s="128">
        <v>53226.5</v>
      </c>
      <c r="I37" s="128">
        <v>13825</v>
      </c>
      <c r="J37" s="128">
        <v>58163</v>
      </c>
      <c r="K37" s="128">
        <v>21457</v>
      </c>
      <c r="L37" s="5">
        <f t="shared" si="1"/>
        <v>996044.6</v>
      </c>
      <c r="M37" s="2">
        <f>Form!$E$5</f>
        <v>0</v>
      </c>
      <c r="N37" s="5">
        <v>-58207.339999999713</v>
      </c>
      <c r="O37" s="14">
        <f t="shared" si="3"/>
        <v>-58207.339999999713</v>
      </c>
      <c r="P37" s="15" t="e">
        <f t="shared" si="4"/>
        <v>#DIV/0!</v>
      </c>
      <c r="Q37" s="16" t="e">
        <f t="shared" si="5"/>
        <v>#DIV/0!</v>
      </c>
      <c r="U37" s="14"/>
    </row>
    <row r="38" spans="1:21" x14ac:dyDescent="0.25">
      <c r="A38" s="7">
        <v>2168</v>
      </c>
      <c r="B38" s="126" t="s">
        <v>27</v>
      </c>
      <c r="C38" s="4">
        <f t="shared" si="2"/>
        <v>152503.962</v>
      </c>
      <c r="D38" s="6">
        <v>1</v>
      </c>
      <c r="E38" s="82">
        <f t="shared" si="0"/>
        <v>0.12</v>
      </c>
      <c r="F38" s="128">
        <v>1068106.99</v>
      </c>
      <c r="G38" s="128">
        <v>0</v>
      </c>
      <c r="H38" s="128">
        <v>68864.359999999986</v>
      </c>
      <c r="I38" s="128">
        <v>62860</v>
      </c>
      <c r="J38" s="128">
        <v>52198</v>
      </c>
      <c r="K38" s="128">
        <v>18837</v>
      </c>
      <c r="L38" s="5">
        <f t="shared" si="1"/>
        <v>1270866.3500000001</v>
      </c>
      <c r="M38" s="2">
        <f>Form!$E$5</f>
        <v>0</v>
      </c>
      <c r="N38" s="5">
        <v>-154262.1099999999</v>
      </c>
      <c r="O38" s="14">
        <f t="shared" si="3"/>
        <v>-154262.1099999999</v>
      </c>
      <c r="P38" s="15" t="e">
        <f t="shared" si="4"/>
        <v>#DIV/0!</v>
      </c>
      <c r="Q38" s="16" t="e">
        <f t="shared" si="5"/>
        <v>#DIV/0!</v>
      </c>
      <c r="U38" s="14"/>
    </row>
    <row r="39" spans="1:21" x14ac:dyDescent="0.25">
      <c r="A39" s="7">
        <v>2169</v>
      </c>
      <c r="B39" s="126" t="s">
        <v>28</v>
      </c>
      <c r="C39" s="4">
        <f t="shared" si="2"/>
        <v>68078.624400000001</v>
      </c>
      <c r="D39" s="6">
        <v>1</v>
      </c>
      <c r="E39" s="82">
        <f t="shared" si="0"/>
        <v>0.12</v>
      </c>
      <c r="F39" s="128">
        <v>435125.46</v>
      </c>
      <c r="G39" s="128">
        <v>0</v>
      </c>
      <c r="H39" s="128">
        <v>83318.409999999974</v>
      </c>
      <c r="I39" s="128">
        <v>24360</v>
      </c>
      <c r="J39" s="128">
        <v>22173</v>
      </c>
      <c r="K39" s="128">
        <v>2345</v>
      </c>
      <c r="L39" s="5">
        <f t="shared" si="1"/>
        <v>567321.87</v>
      </c>
      <c r="M39" s="2">
        <f>Form!$E$5</f>
        <v>0</v>
      </c>
      <c r="N39" s="5">
        <v>-59456.050000000047</v>
      </c>
      <c r="O39" s="14">
        <f t="shared" si="3"/>
        <v>-59456.050000000047</v>
      </c>
      <c r="P39" s="15" t="e">
        <f t="shared" si="4"/>
        <v>#DIV/0!</v>
      </c>
      <c r="Q39" s="16" t="e">
        <f t="shared" si="5"/>
        <v>#DIV/0!</v>
      </c>
      <c r="U39" s="14"/>
    </row>
    <row r="40" spans="1:21" x14ac:dyDescent="0.25">
      <c r="A40" s="7">
        <v>2171</v>
      </c>
      <c r="B40" s="126" t="s">
        <v>29</v>
      </c>
      <c r="C40" s="4">
        <f t="shared" si="2"/>
        <v>329790.06</v>
      </c>
      <c r="D40" s="6">
        <v>1</v>
      </c>
      <c r="E40" s="82">
        <f t="shared" si="0"/>
        <v>0.12</v>
      </c>
      <c r="F40" s="128">
        <v>2126267.5500000003</v>
      </c>
      <c r="G40" s="128">
        <v>0</v>
      </c>
      <c r="H40" s="128">
        <v>326253.94999999995</v>
      </c>
      <c r="I40" s="128">
        <v>159390</v>
      </c>
      <c r="J40" s="128">
        <v>70291</v>
      </c>
      <c r="K40" s="128">
        <v>66048</v>
      </c>
      <c r="L40" s="5">
        <f t="shared" si="1"/>
        <v>2748250.5</v>
      </c>
      <c r="M40" s="2">
        <f>Form!$E$5</f>
        <v>0</v>
      </c>
      <c r="N40" s="5">
        <v>-352454.98999999929</v>
      </c>
      <c r="O40" s="14">
        <f t="shared" si="3"/>
        <v>-352454.98999999929</v>
      </c>
      <c r="P40" s="15" t="e">
        <f t="shared" si="4"/>
        <v>#DIV/0!</v>
      </c>
      <c r="Q40" s="16" t="e">
        <f t="shared" si="5"/>
        <v>#DIV/0!</v>
      </c>
      <c r="U40" s="14"/>
    </row>
    <row r="41" spans="1:21" x14ac:dyDescent="0.25">
      <c r="A41" s="7">
        <v>2175</v>
      </c>
      <c r="B41" s="126" t="s">
        <v>30</v>
      </c>
      <c r="C41" s="4">
        <f t="shared" si="2"/>
        <v>276578.63039999997</v>
      </c>
      <c r="D41" s="6">
        <v>1</v>
      </c>
      <c r="E41" s="82">
        <f t="shared" si="0"/>
        <v>0.12</v>
      </c>
      <c r="F41" s="128">
        <v>1846725.6500000001</v>
      </c>
      <c r="G41" s="128">
        <v>0</v>
      </c>
      <c r="H41" s="128">
        <v>236143.27000000002</v>
      </c>
      <c r="I41" s="128">
        <v>179060</v>
      </c>
      <c r="J41" s="128">
        <v>19565</v>
      </c>
      <c r="K41" s="128">
        <v>23328</v>
      </c>
      <c r="L41" s="5">
        <f t="shared" si="1"/>
        <v>2304821.92</v>
      </c>
      <c r="M41" s="2">
        <f>Form!$E$5</f>
        <v>0</v>
      </c>
      <c r="N41" s="5">
        <v>-160822.6300000003</v>
      </c>
      <c r="O41" s="14">
        <f t="shared" si="3"/>
        <v>-160822.6300000003</v>
      </c>
      <c r="P41" s="15" t="e">
        <f t="shared" si="4"/>
        <v>#DIV/0!</v>
      </c>
      <c r="Q41" s="16" t="e">
        <f t="shared" si="5"/>
        <v>#DIV/0!</v>
      </c>
      <c r="U41" s="14"/>
    </row>
    <row r="42" spans="1:21" x14ac:dyDescent="0.25">
      <c r="A42" s="7">
        <v>2176</v>
      </c>
      <c r="B42" s="126" t="s">
        <v>31</v>
      </c>
      <c r="C42" s="4">
        <f t="shared" si="2"/>
        <v>231033.71039999995</v>
      </c>
      <c r="D42" s="6">
        <v>1</v>
      </c>
      <c r="E42" s="82">
        <f t="shared" si="0"/>
        <v>0.12</v>
      </c>
      <c r="F42" s="128">
        <v>1644958.5899999996</v>
      </c>
      <c r="G42" s="128">
        <v>0</v>
      </c>
      <c r="H42" s="128">
        <v>57816.750000000015</v>
      </c>
      <c r="I42" s="128">
        <v>135407.58000000002</v>
      </c>
      <c r="J42" s="128">
        <v>53818</v>
      </c>
      <c r="K42" s="128">
        <v>33280</v>
      </c>
      <c r="L42" s="5">
        <f t="shared" si="1"/>
        <v>1925280.9199999997</v>
      </c>
      <c r="M42" s="2">
        <f>Form!$E$5</f>
        <v>0</v>
      </c>
      <c r="N42" s="5">
        <v>-228138.62999999942</v>
      </c>
      <c r="O42" s="14">
        <f t="shared" si="3"/>
        <v>-228138.62999999942</v>
      </c>
      <c r="P42" s="15" t="e">
        <f t="shared" si="4"/>
        <v>#DIV/0!</v>
      </c>
      <c r="Q42" s="16" t="e">
        <f t="shared" si="5"/>
        <v>#DIV/0!</v>
      </c>
      <c r="U42" s="14"/>
    </row>
    <row r="43" spans="1:21" x14ac:dyDescent="0.25">
      <c r="A43" s="7">
        <v>2185</v>
      </c>
      <c r="B43" s="126" t="s">
        <v>32</v>
      </c>
      <c r="C43" s="4">
        <f t="shared" si="2"/>
        <v>147077.4276</v>
      </c>
      <c r="D43" s="6">
        <v>1</v>
      </c>
      <c r="E43" s="82">
        <f t="shared" si="0"/>
        <v>0.12</v>
      </c>
      <c r="F43" s="128">
        <v>999849.3899999999</v>
      </c>
      <c r="G43" s="128">
        <v>0</v>
      </c>
      <c r="H43" s="128">
        <v>97027.839999999997</v>
      </c>
      <c r="I43" s="128">
        <v>49162.000000000007</v>
      </c>
      <c r="J43" s="128">
        <v>53238</v>
      </c>
      <c r="K43" s="128">
        <v>26368</v>
      </c>
      <c r="L43" s="5">
        <f t="shared" si="1"/>
        <v>1225645.23</v>
      </c>
      <c r="M43" s="2">
        <f>Form!$E$5</f>
        <v>0</v>
      </c>
      <c r="N43" s="5">
        <v>-85393.40000000014</v>
      </c>
      <c r="O43" s="14">
        <f t="shared" si="3"/>
        <v>-85393.40000000014</v>
      </c>
      <c r="P43" s="15" t="e">
        <f t="shared" si="4"/>
        <v>#DIV/0!</v>
      </c>
      <c r="Q43" s="16" t="e">
        <f t="shared" si="5"/>
        <v>#DIV/0!</v>
      </c>
      <c r="U43" s="14"/>
    </row>
    <row r="44" spans="1:21" x14ac:dyDescent="0.25">
      <c r="A44" s="7">
        <v>2187</v>
      </c>
      <c r="B44" s="126" t="s">
        <v>33</v>
      </c>
      <c r="C44" s="4">
        <f t="shared" si="2"/>
        <v>141251.29200000002</v>
      </c>
      <c r="D44" s="6">
        <v>1</v>
      </c>
      <c r="E44" s="82">
        <f t="shared" si="0"/>
        <v>0.12</v>
      </c>
      <c r="F44" s="128">
        <v>977918.59</v>
      </c>
      <c r="G44" s="128">
        <v>0</v>
      </c>
      <c r="H44" s="128">
        <v>90474.510000000024</v>
      </c>
      <c r="I44" s="128">
        <v>26950</v>
      </c>
      <c r="J44" s="128">
        <v>57924</v>
      </c>
      <c r="K44" s="128">
        <v>23827</v>
      </c>
      <c r="L44" s="5">
        <f t="shared" si="1"/>
        <v>1177094.1000000001</v>
      </c>
      <c r="M44" s="2">
        <f>Form!$E$5</f>
        <v>0</v>
      </c>
      <c r="N44" s="5">
        <v>-42479.589999999793</v>
      </c>
      <c r="O44" s="14">
        <f t="shared" si="3"/>
        <v>-42479.589999999793</v>
      </c>
      <c r="P44" s="15" t="e">
        <f t="shared" si="4"/>
        <v>#DIV/0!</v>
      </c>
      <c r="Q44" s="16" t="e">
        <f t="shared" si="5"/>
        <v>#DIV/0!</v>
      </c>
      <c r="U44" s="14"/>
    </row>
    <row r="45" spans="1:21" x14ac:dyDescent="0.25">
      <c r="A45" s="7">
        <v>2188</v>
      </c>
      <c r="B45" s="126" t="s">
        <v>34</v>
      </c>
      <c r="C45" s="4">
        <f t="shared" si="2"/>
        <v>75435.547200000001</v>
      </c>
      <c r="D45" s="6">
        <v>1</v>
      </c>
      <c r="E45" s="82">
        <f t="shared" si="0"/>
        <v>0.12</v>
      </c>
      <c r="F45" s="128">
        <v>554830.28</v>
      </c>
      <c r="G45" s="128">
        <v>0</v>
      </c>
      <c r="H45" s="128">
        <v>19750.28</v>
      </c>
      <c r="I45" s="128">
        <v>12930</v>
      </c>
      <c r="J45" s="128">
        <v>27272</v>
      </c>
      <c r="K45" s="128">
        <v>13847</v>
      </c>
      <c r="L45" s="5">
        <f t="shared" si="1"/>
        <v>628629.56000000006</v>
      </c>
      <c r="M45" s="2">
        <f>Form!$E$5</f>
        <v>0</v>
      </c>
      <c r="N45" s="5">
        <v>-64910.91999999994</v>
      </c>
      <c r="O45" s="14">
        <f t="shared" si="3"/>
        <v>-64910.91999999994</v>
      </c>
      <c r="P45" s="15" t="e">
        <f t="shared" si="4"/>
        <v>#DIV/0!</v>
      </c>
      <c r="Q45" s="16" t="e">
        <f t="shared" si="5"/>
        <v>#DIV/0!</v>
      </c>
      <c r="U45" s="14"/>
    </row>
    <row r="46" spans="1:21" x14ac:dyDescent="0.25">
      <c r="A46" s="7">
        <v>2189</v>
      </c>
      <c r="B46" s="126" t="s">
        <v>35</v>
      </c>
      <c r="C46" s="4">
        <f t="shared" si="2"/>
        <v>155328.39119999998</v>
      </c>
      <c r="D46" s="6">
        <v>1</v>
      </c>
      <c r="E46" s="82">
        <f t="shared" si="0"/>
        <v>0.12</v>
      </c>
      <c r="F46" s="128">
        <v>1049163.23</v>
      </c>
      <c r="G46" s="128">
        <v>0</v>
      </c>
      <c r="H46" s="128">
        <v>133122.03</v>
      </c>
      <c r="I46" s="128">
        <v>37650</v>
      </c>
      <c r="J46" s="128">
        <v>52911</v>
      </c>
      <c r="K46" s="128">
        <v>21557</v>
      </c>
      <c r="L46" s="5">
        <f t="shared" si="1"/>
        <v>1294403.26</v>
      </c>
      <c r="M46" s="2">
        <f>Form!$E$5</f>
        <v>0</v>
      </c>
      <c r="N46" s="5">
        <v>-51591.139999999548</v>
      </c>
      <c r="O46" s="14">
        <f t="shared" si="3"/>
        <v>-51591.139999999548</v>
      </c>
      <c r="P46" s="15" t="e">
        <f t="shared" si="4"/>
        <v>#DIV/0!</v>
      </c>
      <c r="Q46" s="16" t="e">
        <f t="shared" si="5"/>
        <v>#DIV/0!</v>
      </c>
      <c r="U46" s="14"/>
    </row>
    <row r="47" spans="1:21" x14ac:dyDescent="0.25">
      <c r="A47" s="7">
        <v>2190</v>
      </c>
      <c r="B47" s="126" t="s">
        <v>36</v>
      </c>
      <c r="C47" s="4">
        <f t="shared" si="2"/>
        <v>68739.356400000019</v>
      </c>
      <c r="D47" s="6">
        <v>1</v>
      </c>
      <c r="E47" s="82">
        <f t="shared" si="0"/>
        <v>0.12</v>
      </c>
      <c r="F47" s="128">
        <v>435694.89000000013</v>
      </c>
      <c r="G47" s="128">
        <v>0</v>
      </c>
      <c r="H47" s="128">
        <v>94749.080000000016</v>
      </c>
      <c r="I47" s="128">
        <v>10360.000000000002</v>
      </c>
      <c r="J47" s="128">
        <v>25287</v>
      </c>
      <c r="K47" s="128">
        <v>6737</v>
      </c>
      <c r="L47" s="5">
        <f t="shared" si="1"/>
        <v>572827.9700000002</v>
      </c>
      <c r="M47" s="2">
        <f>Form!$E$5</f>
        <v>0</v>
      </c>
      <c r="N47" s="5">
        <v>-66412.200000000157</v>
      </c>
      <c r="O47" s="14">
        <f t="shared" si="3"/>
        <v>-66412.200000000157</v>
      </c>
      <c r="P47" s="15" t="e">
        <f t="shared" si="4"/>
        <v>#DIV/0!</v>
      </c>
      <c r="Q47" s="16" t="e">
        <f t="shared" si="5"/>
        <v>#DIV/0!</v>
      </c>
      <c r="U47" s="14"/>
    </row>
    <row r="48" spans="1:21" x14ac:dyDescent="0.25">
      <c r="A48" s="7">
        <v>2192</v>
      </c>
      <c r="B48" s="126" t="s">
        <v>37</v>
      </c>
      <c r="C48" s="4">
        <f t="shared" si="2"/>
        <v>276194.76120000001</v>
      </c>
      <c r="D48" s="6">
        <v>1</v>
      </c>
      <c r="E48" s="82">
        <f t="shared" si="0"/>
        <v>0.12</v>
      </c>
      <c r="F48" s="128">
        <v>1886217.9000000004</v>
      </c>
      <c r="G48" s="128">
        <v>0</v>
      </c>
      <c r="H48" s="128">
        <v>169058.11</v>
      </c>
      <c r="I48" s="128">
        <v>123540.00000000003</v>
      </c>
      <c r="J48" s="128">
        <v>85175</v>
      </c>
      <c r="K48" s="128">
        <v>37632</v>
      </c>
      <c r="L48" s="5">
        <f t="shared" si="1"/>
        <v>2301623.0100000002</v>
      </c>
      <c r="M48" s="2">
        <f>Form!$E$5</f>
        <v>0</v>
      </c>
      <c r="N48" s="5">
        <v>-34962.499999999389</v>
      </c>
      <c r="O48" s="14">
        <f t="shared" si="3"/>
        <v>-34962.499999999389</v>
      </c>
      <c r="P48" s="15" t="e">
        <f t="shared" si="4"/>
        <v>#DIV/0!</v>
      </c>
      <c r="Q48" s="16" t="e">
        <f t="shared" si="5"/>
        <v>#DIV/0!</v>
      </c>
      <c r="U48" s="14"/>
    </row>
    <row r="49" spans="1:21" x14ac:dyDescent="0.25">
      <c r="A49" s="7">
        <v>2193</v>
      </c>
      <c r="B49" s="126" t="s">
        <v>38</v>
      </c>
      <c r="C49" s="4">
        <f t="shared" si="2"/>
        <v>141830.64239999998</v>
      </c>
      <c r="D49" s="6">
        <v>1</v>
      </c>
      <c r="E49" s="82">
        <f t="shared" si="0"/>
        <v>0.12</v>
      </c>
      <c r="F49" s="128">
        <v>1015680.7400000001</v>
      </c>
      <c r="G49" s="128">
        <v>0</v>
      </c>
      <c r="H49" s="128">
        <v>26832.280000000002</v>
      </c>
      <c r="I49" s="128">
        <v>71740</v>
      </c>
      <c r="J49" s="128">
        <v>47834</v>
      </c>
      <c r="K49" s="128">
        <v>19835</v>
      </c>
      <c r="L49" s="5">
        <f t="shared" si="1"/>
        <v>1181922.02</v>
      </c>
      <c r="M49" s="2">
        <f>Form!$E$5</f>
        <v>0</v>
      </c>
      <c r="N49" s="5">
        <v>-99641.989999999816</v>
      </c>
      <c r="O49" s="14">
        <f t="shared" si="3"/>
        <v>-99641.989999999816</v>
      </c>
      <c r="P49" s="15" t="e">
        <f t="shared" si="4"/>
        <v>#DIV/0!</v>
      </c>
      <c r="Q49" s="16" t="e">
        <f t="shared" si="5"/>
        <v>#DIV/0!</v>
      </c>
      <c r="U49" s="14"/>
    </row>
    <row r="50" spans="1:21" x14ac:dyDescent="0.25">
      <c r="A50" s="7">
        <v>2226</v>
      </c>
      <c r="B50" s="126" t="s">
        <v>39</v>
      </c>
      <c r="C50" s="4">
        <f t="shared" si="2"/>
        <v>88980.743999999992</v>
      </c>
      <c r="D50" s="6">
        <v>1</v>
      </c>
      <c r="E50" s="82">
        <f t="shared" si="0"/>
        <v>0.12</v>
      </c>
      <c r="F50" s="128">
        <v>624665.51</v>
      </c>
      <c r="G50" s="128">
        <v>0</v>
      </c>
      <c r="H50" s="128">
        <v>46404.689999999995</v>
      </c>
      <c r="I50" s="128">
        <v>31030.000000000007</v>
      </c>
      <c r="J50" s="128">
        <v>26432</v>
      </c>
      <c r="K50" s="128">
        <v>12974</v>
      </c>
      <c r="L50" s="5">
        <f t="shared" si="1"/>
        <v>741506.2</v>
      </c>
      <c r="M50" s="2">
        <f>Form!$E$5</f>
        <v>0</v>
      </c>
      <c r="N50" s="5">
        <v>-29168.989999999845</v>
      </c>
      <c r="O50" s="14">
        <f t="shared" si="3"/>
        <v>-29168.989999999845</v>
      </c>
      <c r="P50" s="15" t="e">
        <f t="shared" si="4"/>
        <v>#DIV/0!</v>
      </c>
      <c r="Q50" s="16" t="e">
        <f t="shared" si="5"/>
        <v>#DIV/0!</v>
      </c>
      <c r="U50" s="14"/>
    </row>
    <row r="51" spans="1:21" x14ac:dyDescent="0.25">
      <c r="A51" s="7">
        <v>2227</v>
      </c>
      <c r="B51" s="126" t="s">
        <v>147</v>
      </c>
      <c r="C51" s="4">
        <f t="shared" si="2"/>
        <v>135081.52799999999</v>
      </c>
      <c r="D51" s="6">
        <v>1</v>
      </c>
      <c r="E51" s="82">
        <f t="shared" si="0"/>
        <v>0.12</v>
      </c>
      <c r="F51" s="128">
        <v>1000075.5700000001</v>
      </c>
      <c r="G51" s="128">
        <v>0</v>
      </c>
      <c r="H51" s="128">
        <v>27578.829999999998</v>
      </c>
      <c r="I51" s="128">
        <v>33180</v>
      </c>
      <c r="J51" s="128">
        <v>53368</v>
      </c>
      <c r="K51" s="128">
        <v>11477</v>
      </c>
      <c r="L51" s="5">
        <f t="shared" si="1"/>
        <v>1125679.3999999999</v>
      </c>
      <c r="M51" s="2">
        <f>Form!$E$5</f>
        <v>0</v>
      </c>
      <c r="N51" s="5">
        <v>-108765.64000000003</v>
      </c>
      <c r="O51" s="14">
        <f t="shared" si="3"/>
        <v>-108765.64000000003</v>
      </c>
      <c r="P51" s="15" t="e">
        <f t="shared" si="4"/>
        <v>#DIV/0!</v>
      </c>
      <c r="Q51" s="16" t="e">
        <f t="shared" si="5"/>
        <v>#DIV/0!</v>
      </c>
      <c r="U51" s="14"/>
    </row>
    <row r="52" spans="1:21" x14ac:dyDescent="0.25">
      <c r="A52" s="7">
        <v>2228</v>
      </c>
      <c r="B52" s="126" t="s">
        <v>40</v>
      </c>
      <c r="C52" s="4">
        <f t="shared" si="2"/>
        <v>288799.9427999999</v>
      </c>
      <c r="D52" s="6">
        <v>1</v>
      </c>
      <c r="E52" s="82">
        <f t="shared" si="0"/>
        <v>0.12</v>
      </c>
      <c r="F52" s="128">
        <v>2069454.9399999997</v>
      </c>
      <c r="G52" s="128">
        <v>0</v>
      </c>
      <c r="H52" s="128">
        <v>66378.25</v>
      </c>
      <c r="I52" s="128">
        <v>145210.00000000003</v>
      </c>
      <c r="J52" s="128">
        <v>86199</v>
      </c>
      <c r="K52" s="128">
        <v>39424</v>
      </c>
      <c r="L52" s="5">
        <f t="shared" si="1"/>
        <v>2406666.1899999995</v>
      </c>
      <c r="M52" s="2">
        <f>Form!$E$5</f>
        <v>0</v>
      </c>
      <c r="N52" s="5">
        <v>-72598.179999998174</v>
      </c>
      <c r="O52" s="14">
        <f t="shared" si="3"/>
        <v>-72598.179999998174</v>
      </c>
      <c r="P52" s="15" t="e">
        <f t="shared" si="4"/>
        <v>#DIV/0!</v>
      </c>
      <c r="Q52" s="16" t="e">
        <f t="shared" si="5"/>
        <v>#DIV/0!</v>
      </c>
      <c r="U52" s="14"/>
    </row>
    <row r="53" spans="1:21" x14ac:dyDescent="0.25">
      <c r="A53" s="7">
        <v>2231</v>
      </c>
      <c r="B53" s="126" t="s">
        <v>41</v>
      </c>
      <c r="C53" s="4">
        <f t="shared" si="2"/>
        <v>149533.66200000001</v>
      </c>
      <c r="D53" s="6">
        <v>1</v>
      </c>
      <c r="E53" s="82">
        <f t="shared" si="0"/>
        <v>0.12</v>
      </c>
      <c r="F53" s="128">
        <v>1001473.48</v>
      </c>
      <c r="G53" s="128">
        <v>0</v>
      </c>
      <c r="H53" s="128">
        <v>134279.37</v>
      </c>
      <c r="I53" s="128">
        <v>40300</v>
      </c>
      <c r="J53" s="128">
        <v>49228</v>
      </c>
      <c r="K53" s="128">
        <v>20833</v>
      </c>
      <c r="L53" s="5">
        <f t="shared" ref="L53:L105" si="6">SUM(F53:K53)</f>
        <v>1246113.8500000001</v>
      </c>
      <c r="M53" s="2">
        <f>Form!$E$5</f>
        <v>0</v>
      </c>
      <c r="N53" s="5">
        <v>-145142.89999999979</v>
      </c>
      <c r="O53" s="14">
        <f t="shared" si="3"/>
        <v>-145142.89999999979</v>
      </c>
      <c r="P53" s="15" t="e">
        <f t="shared" si="4"/>
        <v>#DIV/0!</v>
      </c>
      <c r="Q53" s="16" t="e">
        <f t="shared" si="5"/>
        <v>#DIV/0!</v>
      </c>
      <c r="U53" s="14"/>
    </row>
    <row r="54" spans="1:21" x14ac:dyDescent="0.25">
      <c r="A54" s="7">
        <v>2239</v>
      </c>
      <c r="B54" s="126" t="s">
        <v>42</v>
      </c>
      <c r="C54" s="4">
        <f t="shared" si="2"/>
        <v>103689.96839999998</v>
      </c>
      <c r="D54" s="6">
        <v>1</v>
      </c>
      <c r="E54" s="82">
        <f t="shared" si="0"/>
        <v>0.12</v>
      </c>
      <c r="F54" s="128">
        <v>730510.87</v>
      </c>
      <c r="G54" s="128">
        <v>0</v>
      </c>
      <c r="H54" s="128">
        <v>73803.199999999997</v>
      </c>
      <c r="I54" s="128">
        <v>19550</v>
      </c>
      <c r="J54" s="128">
        <v>34356</v>
      </c>
      <c r="K54" s="128">
        <v>5863</v>
      </c>
      <c r="L54" s="5">
        <f t="shared" si="6"/>
        <v>864083.07</v>
      </c>
      <c r="M54" s="2">
        <f>Form!$E$5</f>
        <v>0</v>
      </c>
      <c r="N54" s="5">
        <v>-81793.56000000007</v>
      </c>
      <c r="O54" s="14">
        <f t="shared" ref="O54:O110" si="7">N54-M54</f>
        <v>-81793.56000000007</v>
      </c>
      <c r="P54" s="15" t="e">
        <f t="shared" ref="P54:P110" si="8">O54/M54</f>
        <v>#DIV/0!</v>
      </c>
      <c r="Q54" s="16" t="e">
        <f t="shared" ref="Q54:Q110" si="9">IF(AND(O54&lt;$Q$2,O54&gt;-$Q$2),"Within Tolerance",IF(AND(P54&lt;$R$2,P54&gt;-$R$2),"Within Tolerance",O54))</f>
        <v>#DIV/0!</v>
      </c>
      <c r="U54" s="14"/>
    </row>
    <row r="55" spans="1:21" x14ac:dyDescent="0.25">
      <c r="A55" s="7">
        <v>2245</v>
      </c>
      <c r="B55" s="126" t="s">
        <v>159</v>
      </c>
      <c r="C55" s="4">
        <f t="shared" si="2"/>
        <v>356757.30359999998</v>
      </c>
      <c r="D55" s="6">
        <v>1</v>
      </c>
      <c r="E55" s="82">
        <f t="shared" si="0"/>
        <v>0.12</v>
      </c>
      <c r="F55" s="128">
        <v>2423222.5299999998</v>
      </c>
      <c r="G55" s="128">
        <v>0</v>
      </c>
      <c r="H55" s="128">
        <v>82612.669999999969</v>
      </c>
      <c r="I55" s="128">
        <v>344514.33000000007</v>
      </c>
      <c r="J55" s="128">
        <v>42756</v>
      </c>
      <c r="K55" s="128">
        <v>79872</v>
      </c>
      <c r="L55" s="5">
        <f t="shared" si="6"/>
        <v>2972977.53</v>
      </c>
      <c r="M55" s="2">
        <f>Form!$E$5</f>
        <v>0</v>
      </c>
      <c r="N55" s="5">
        <v>-165207.24999999948</v>
      </c>
      <c r="O55" s="14">
        <f t="shared" si="7"/>
        <v>-165207.24999999948</v>
      </c>
      <c r="P55" s="15" t="e">
        <f t="shared" si="8"/>
        <v>#DIV/0!</v>
      </c>
      <c r="Q55" s="16" t="e">
        <f t="shared" si="9"/>
        <v>#DIV/0!</v>
      </c>
      <c r="U55" s="14"/>
    </row>
    <row r="56" spans="1:21" x14ac:dyDescent="0.25">
      <c r="A56" s="7">
        <v>2254</v>
      </c>
      <c r="B56" s="126" t="s">
        <v>43</v>
      </c>
      <c r="C56" s="4">
        <f t="shared" si="2"/>
        <v>168053.1348</v>
      </c>
      <c r="D56" s="6">
        <v>1</v>
      </c>
      <c r="E56" s="82">
        <f t="shared" si="0"/>
        <v>0.12</v>
      </c>
      <c r="F56" s="128">
        <v>1170104.6500000001</v>
      </c>
      <c r="G56" s="128">
        <v>0</v>
      </c>
      <c r="H56" s="128">
        <v>53215.140000000007</v>
      </c>
      <c r="I56" s="128">
        <v>100810.00000000003</v>
      </c>
      <c r="J56" s="128">
        <v>46361</v>
      </c>
      <c r="K56" s="128">
        <v>29952</v>
      </c>
      <c r="L56" s="5">
        <f t="shared" si="6"/>
        <v>1400442.79</v>
      </c>
      <c r="M56" s="2">
        <f>Form!$E$5</f>
        <v>0</v>
      </c>
      <c r="N56" s="5">
        <v>-37160.970000000147</v>
      </c>
      <c r="O56" s="14">
        <f t="shared" si="7"/>
        <v>-37160.970000000147</v>
      </c>
      <c r="P56" s="15" t="e">
        <f t="shared" si="8"/>
        <v>#DIV/0!</v>
      </c>
      <c r="Q56" s="16" t="e">
        <f t="shared" si="9"/>
        <v>#DIV/0!</v>
      </c>
      <c r="U56" s="14"/>
    </row>
    <row r="57" spans="1:21" x14ac:dyDescent="0.25">
      <c r="A57" s="7">
        <v>2258</v>
      </c>
      <c r="B57" s="126" t="s">
        <v>44</v>
      </c>
      <c r="C57" s="4">
        <f t="shared" si="2"/>
        <v>289516.72440000001</v>
      </c>
      <c r="D57" s="6">
        <v>1</v>
      </c>
      <c r="E57" s="82">
        <f t="shared" si="0"/>
        <v>0.12</v>
      </c>
      <c r="F57" s="128">
        <v>2085624.8300000003</v>
      </c>
      <c r="G57" s="128">
        <v>0</v>
      </c>
      <c r="H57" s="128">
        <v>124457.54</v>
      </c>
      <c r="I57" s="128">
        <v>66860</v>
      </c>
      <c r="J57" s="128">
        <v>98065</v>
      </c>
      <c r="K57" s="128">
        <v>37632</v>
      </c>
      <c r="L57" s="5">
        <f t="shared" si="6"/>
        <v>2412639.37</v>
      </c>
      <c r="M57" s="2">
        <f>Form!$E$5</f>
        <v>0</v>
      </c>
      <c r="N57" s="5">
        <v>-149686.61999999851</v>
      </c>
      <c r="O57" s="14">
        <f t="shared" si="7"/>
        <v>-149686.61999999851</v>
      </c>
      <c r="P57" s="15" t="e">
        <f t="shared" si="8"/>
        <v>#DIV/0!</v>
      </c>
      <c r="Q57" s="16" t="e">
        <f t="shared" si="9"/>
        <v>#DIV/0!</v>
      </c>
      <c r="U57" s="14"/>
    </row>
    <row r="58" spans="1:21" x14ac:dyDescent="0.25">
      <c r="A58" s="7">
        <v>2263</v>
      </c>
      <c r="B58" s="126" t="s">
        <v>45</v>
      </c>
      <c r="C58" s="4">
        <f t="shared" si="2"/>
        <v>237362.48880000002</v>
      </c>
      <c r="D58" s="6">
        <v>1</v>
      </c>
      <c r="E58" s="82">
        <f t="shared" si="0"/>
        <v>0.12</v>
      </c>
      <c r="F58" s="128">
        <v>1632278.37</v>
      </c>
      <c r="G58" s="128">
        <v>0</v>
      </c>
      <c r="H58" s="128">
        <v>90491.37</v>
      </c>
      <c r="I58" s="128">
        <v>156470</v>
      </c>
      <c r="J58" s="128">
        <v>82813</v>
      </c>
      <c r="K58" s="128">
        <v>15968</v>
      </c>
      <c r="L58" s="5">
        <f t="shared" si="6"/>
        <v>1978020.7400000002</v>
      </c>
      <c r="M58" s="2">
        <f>Form!$E$5</f>
        <v>0</v>
      </c>
      <c r="N58" s="5">
        <v>-227954.38000000012</v>
      </c>
      <c r="O58" s="14">
        <f t="shared" si="7"/>
        <v>-227954.38000000012</v>
      </c>
      <c r="P58" s="15" t="e">
        <f t="shared" si="8"/>
        <v>#DIV/0!</v>
      </c>
      <c r="Q58" s="16" t="e">
        <f t="shared" si="9"/>
        <v>#DIV/0!</v>
      </c>
      <c r="U58" s="14"/>
    </row>
    <row r="59" spans="1:21" x14ac:dyDescent="0.25">
      <c r="A59" s="7">
        <v>2265</v>
      </c>
      <c r="B59" s="126" t="s">
        <v>46</v>
      </c>
      <c r="C59" s="4">
        <f t="shared" si="2"/>
        <v>89759.068799999994</v>
      </c>
      <c r="D59" s="6">
        <v>1</v>
      </c>
      <c r="E59" s="82">
        <f t="shared" si="0"/>
        <v>0.12</v>
      </c>
      <c r="F59" s="128">
        <v>614027.17999999993</v>
      </c>
      <c r="G59" s="128">
        <v>0</v>
      </c>
      <c r="H59" s="128">
        <v>52379.06</v>
      </c>
      <c r="I59" s="128">
        <v>37310</v>
      </c>
      <c r="J59" s="128">
        <v>29930</v>
      </c>
      <c r="K59" s="128">
        <v>14346</v>
      </c>
      <c r="L59" s="5">
        <f t="shared" si="6"/>
        <v>747992.24</v>
      </c>
      <c r="M59" s="2">
        <f>Form!$E$5</f>
        <v>0</v>
      </c>
      <c r="N59" s="5">
        <v>-46618.539999999964</v>
      </c>
      <c r="O59" s="14">
        <f t="shared" si="7"/>
        <v>-46618.539999999964</v>
      </c>
      <c r="P59" s="15" t="e">
        <f t="shared" si="8"/>
        <v>#DIV/0!</v>
      </c>
      <c r="Q59" s="16" t="e">
        <f t="shared" si="9"/>
        <v>#DIV/0!</v>
      </c>
      <c r="U59" s="14"/>
    </row>
    <row r="60" spans="1:21" x14ac:dyDescent="0.25">
      <c r="A60" s="7">
        <v>2268</v>
      </c>
      <c r="B60" s="126" t="s">
        <v>47</v>
      </c>
      <c r="C60" s="4">
        <f t="shared" si="2"/>
        <v>131518.57079999999</v>
      </c>
      <c r="D60" s="6">
        <v>1</v>
      </c>
      <c r="E60" s="82">
        <f t="shared" si="0"/>
        <v>0.12</v>
      </c>
      <c r="F60" s="128">
        <v>831996.1</v>
      </c>
      <c r="G60" s="128">
        <v>0</v>
      </c>
      <c r="H60" s="128">
        <v>125982.26000000001</v>
      </c>
      <c r="I60" s="128">
        <v>51544.73</v>
      </c>
      <c r="J60" s="128">
        <v>66754</v>
      </c>
      <c r="K60" s="128">
        <v>19711</v>
      </c>
      <c r="L60" s="5">
        <f t="shared" si="6"/>
        <v>1095988.0899999999</v>
      </c>
      <c r="M60" s="2">
        <f>Form!$E$5</f>
        <v>0</v>
      </c>
      <c r="N60" s="5">
        <v>-47523.349999999788</v>
      </c>
      <c r="O60" s="14">
        <f t="shared" si="7"/>
        <v>-47523.349999999788</v>
      </c>
      <c r="P60" s="15" t="e">
        <f t="shared" si="8"/>
        <v>#DIV/0!</v>
      </c>
      <c r="Q60" s="16" t="e">
        <f t="shared" si="9"/>
        <v>#DIV/0!</v>
      </c>
      <c r="U60" s="14"/>
    </row>
    <row r="61" spans="1:21" x14ac:dyDescent="0.25">
      <c r="A61" s="7">
        <v>2269</v>
      </c>
      <c r="B61" s="126" t="s">
        <v>48</v>
      </c>
      <c r="C61" s="4">
        <f t="shared" si="2"/>
        <v>177416.94959999999</v>
      </c>
      <c r="D61" s="6">
        <v>1</v>
      </c>
      <c r="E61" s="82">
        <f t="shared" si="0"/>
        <v>0.12</v>
      </c>
      <c r="F61" s="128">
        <v>1180657.81</v>
      </c>
      <c r="G61" s="128">
        <v>0</v>
      </c>
      <c r="H61" s="128">
        <v>150542.77000000002</v>
      </c>
      <c r="I61" s="128">
        <v>110170</v>
      </c>
      <c r="J61" s="128">
        <v>18267</v>
      </c>
      <c r="K61" s="128">
        <v>18837</v>
      </c>
      <c r="L61" s="5">
        <f t="shared" si="6"/>
        <v>1478474.58</v>
      </c>
      <c r="M61" s="2">
        <f>Form!$E$5</f>
        <v>0</v>
      </c>
      <c r="N61" s="5">
        <v>-135008.4799999994</v>
      </c>
      <c r="O61" s="14">
        <f t="shared" si="7"/>
        <v>-135008.4799999994</v>
      </c>
      <c r="P61" s="15" t="e">
        <f t="shared" si="8"/>
        <v>#DIV/0!</v>
      </c>
      <c r="Q61" s="16" t="e">
        <f t="shared" si="9"/>
        <v>#DIV/0!</v>
      </c>
      <c r="U61" s="14"/>
    </row>
    <row r="62" spans="1:21" x14ac:dyDescent="0.25">
      <c r="A62" s="7">
        <v>2270</v>
      </c>
      <c r="B62" s="126" t="s">
        <v>49</v>
      </c>
      <c r="C62" s="4">
        <f t="shared" si="2"/>
        <v>130230.69</v>
      </c>
      <c r="D62" s="6">
        <v>1</v>
      </c>
      <c r="E62" s="82">
        <f t="shared" ref="E62:E119" si="10">IF(D62=1,0.12,IF(D62=4,0.085,0.075))</f>
        <v>0.12</v>
      </c>
      <c r="F62" s="128">
        <v>952072.60000000009</v>
      </c>
      <c r="G62" s="128">
        <v>0</v>
      </c>
      <c r="H62" s="128">
        <v>11425.149999999998</v>
      </c>
      <c r="I62" s="128">
        <v>43560</v>
      </c>
      <c r="J62" s="128">
        <v>48246</v>
      </c>
      <c r="K62" s="128">
        <v>29952</v>
      </c>
      <c r="L62" s="5">
        <f t="shared" si="6"/>
        <v>1085255.75</v>
      </c>
      <c r="M62" s="2">
        <f>Form!$E$5</f>
        <v>0</v>
      </c>
      <c r="N62" s="5">
        <v>-47230.490000000354</v>
      </c>
      <c r="O62" s="14">
        <f t="shared" si="7"/>
        <v>-47230.490000000354</v>
      </c>
      <c r="P62" s="15" t="e">
        <f t="shared" si="8"/>
        <v>#DIV/0!</v>
      </c>
      <c r="Q62" s="16" t="e">
        <f t="shared" si="9"/>
        <v>#DIV/0!</v>
      </c>
      <c r="U62" s="14"/>
    </row>
    <row r="63" spans="1:21" x14ac:dyDescent="0.25">
      <c r="A63" s="7">
        <v>2275</v>
      </c>
      <c r="B63" s="126" t="s">
        <v>50</v>
      </c>
      <c r="C63" s="4">
        <f t="shared" ref="C63:C120" si="11">IF(D63=1,L63*0.12,IF(D63=3,L63*0.085,L63*0.075))</f>
        <v>159444.4884</v>
      </c>
      <c r="D63" s="6">
        <v>1</v>
      </c>
      <c r="E63" s="82">
        <f t="shared" si="10"/>
        <v>0.12</v>
      </c>
      <c r="F63" s="128">
        <v>1101306</v>
      </c>
      <c r="G63" s="128">
        <v>0</v>
      </c>
      <c r="H63" s="128">
        <v>79876.070000000007</v>
      </c>
      <c r="I63" s="128">
        <v>81649.000000000029</v>
      </c>
      <c r="J63" s="128">
        <v>50778</v>
      </c>
      <c r="K63" s="128">
        <v>15095</v>
      </c>
      <c r="L63" s="5">
        <f t="shared" si="6"/>
        <v>1328704.07</v>
      </c>
      <c r="M63" s="2">
        <f>Form!$E$5</f>
        <v>0</v>
      </c>
      <c r="N63" s="5">
        <v>-93150.340000000317</v>
      </c>
      <c r="O63" s="14">
        <f t="shared" si="7"/>
        <v>-93150.340000000317</v>
      </c>
      <c r="P63" s="15" t="e">
        <f t="shared" si="8"/>
        <v>#DIV/0!</v>
      </c>
      <c r="Q63" s="16" t="e">
        <f t="shared" si="9"/>
        <v>#DIV/0!</v>
      </c>
      <c r="U63" s="14"/>
    </row>
    <row r="64" spans="1:21" x14ac:dyDescent="0.25">
      <c r="A64" s="7">
        <v>2276</v>
      </c>
      <c r="B64" s="126" t="s">
        <v>51</v>
      </c>
      <c r="C64" s="4">
        <f t="shared" si="11"/>
        <v>241770.91560000007</v>
      </c>
      <c r="D64" s="6">
        <v>1</v>
      </c>
      <c r="E64" s="82">
        <f t="shared" si="10"/>
        <v>0.12</v>
      </c>
      <c r="F64" s="128">
        <v>1709131.7700000005</v>
      </c>
      <c r="G64" s="128">
        <v>0</v>
      </c>
      <c r="H64" s="128">
        <v>81725.86</v>
      </c>
      <c r="I64" s="128">
        <v>69100.000000000015</v>
      </c>
      <c r="J64" s="128">
        <v>131721</v>
      </c>
      <c r="K64" s="128">
        <v>23079</v>
      </c>
      <c r="L64" s="5">
        <f t="shared" si="6"/>
        <v>2014757.6300000006</v>
      </c>
      <c r="M64" s="2">
        <f>Form!$E$5</f>
        <v>0</v>
      </c>
      <c r="N64" s="5">
        <v>-17714.990000000056</v>
      </c>
      <c r="O64" s="14">
        <f t="shared" si="7"/>
        <v>-17714.990000000056</v>
      </c>
      <c r="P64" s="15" t="e">
        <f t="shared" si="8"/>
        <v>#DIV/0!</v>
      </c>
      <c r="Q64" s="16" t="e">
        <f t="shared" si="9"/>
        <v>#DIV/0!</v>
      </c>
      <c r="U64" s="14"/>
    </row>
    <row r="65" spans="1:21" x14ac:dyDescent="0.25">
      <c r="A65" s="7">
        <v>2278</v>
      </c>
      <c r="B65" s="126" t="s">
        <v>160</v>
      </c>
      <c r="C65" s="4">
        <f t="shared" si="11"/>
        <v>105148.64640000001</v>
      </c>
      <c r="D65" s="6">
        <v>1</v>
      </c>
      <c r="E65" s="82">
        <f t="shared" si="10"/>
        <v>0.12</v>
      </c>
      <c r="F65" s="128">
        <v>732662.4800000001</v>
      </c>
      <c r="G65" s="128">
        <v>0</v>
      </c>
      <c r="H65" s="128">
        <v>48910.239999999998</v>
      </c>
      <c r="I65" s="128">
        <v>50868.000000000007</v>
      </c>
      <c r="J65" s="128">
        <v>32820</v>
      </c>
      <c r="K65" s="128">
        <v>10978</v>
      </c>
      <c r="L65" s="5">
        <f t="shared" si="6"/>
        <v>876238.72000000009</v>
      </c>
      <c r="M65" s="2">
        <f>Form!$E$5</f>
        <v>0</v>
      </c>
      <c r="N65" s="5">
        <v>-53462.999999999753</v>
      </c>
      <c r="O65" s="14">
        <f t="shared" si="7"/>
        <v>-53462.999999999753</v>
      </c>
      <c r="P65" s="15" t="e">
        <f t="shared" si="8"/>
        <v>#DIV/0!</v>
      </c>
      <c r="Q65" s="16" t="e">
        <f t="shared" si="9"/>
        <v>#DIV/0!</v>
      </c>
      <c r="U65" s="14"/>
    </row>
    <row r="66" spans="1:21" x14ac:dyDescent="0.25">
      <c r="A66" s="7">
        <v>2279</v>
      </c>
      <c r="B66" s="126" t="s">
        <v>52</v>
      </c>
      <c r="C66" s="4">
        <f t="shared" si="11"/>
        <v>71771.546399999992</v>
      </c>
      <c r="D66" s="6">
        <v>1</v>
      </c>
      <c r="E66" s="82">
        <f t="shared" si="10"/>
        <v>0.12</v>
      </c>
      <c r="F66" s="128">
        <v>536330.71</v>
      </c>
      <c r="G66" s="128">
        <v>0</v>
      </c>
      <c r="H66" s="128">
        <v>17575.509999999998</v>
      </c>
      <c r="I66" s="128">
        <v>19029</v>
      </c>
      <c r="J66" s="128">
        <v>16553</v>
      </c>
      <c r="K66" s="128">
        <v>8608</v>
      </c>
      <c r="L66" s="5">
        <f t="shared" si="6"/>
        <v>598096.22</v>
      </c>
      <c r="M66" s="2">
        <f>Form!$E$5</f>
        <v>0</v>
      </c>
      <c r="N66" s="5">
        <v>-9386.0399999998372</v>
      </c>
      <c r="O66" s="14">
        <f t="shared" si="7"/>
        <v>-9386.0399999998372</v>
      </c>
      <c r="P66" s="15" t="e">
        <f t="shared" si="8"/>
        <v>#DIV/0!</v>
      </c>
      <c r="Q66" s="16" t="str">
        <f t="shared" si="9"/>
        <v>Within Tolerance</v>
      </c>
      <c r="U66" s="14"/>
    </row>
    <row r="67" spans="1:21" x14ac:dyDescent="0.25">
      <c r="A67" s="7">
        <v>2280</v>
      </c>
      <c r="B67" s="126" t="s">
        <v>53</v>
      </c>
      <c r="C67" s="4">
        <f t="shared" si="11"/>
        <v>141394.66800000001</v>
      </c>
      <c r="D67" s="6">
        <v>1</v>
      </c>
      <c r="E67" s="82">
        <f t="shared" si="10"/>
        <v>0.12</v>
      </c>
      <c r="F67" s="128">
        <v>1018094.0700000001</v>
      </c>
      <c r="G67" s="128">
        <v>0</v>
      </c>
      <c r="H67" s="128">
        <v>48921.830000000009</v>
      </c>
      <c r="I67" s="128">
        <v>40560</v>
      </c>
      <c r="J67" s="128">
        <v>51002</v>
      </c>
      <c r="K67" s="128">
        <v>19711</v>
      </c>
      <c r="L67" s="5">
        <f t="shared" si="6"/>
        <v>1178288.9000000001</v>
      </c>
      <c r="M67" s="2">
        <f>Form!$E$5</f>
        <v>0</v>
      </c>
      <c r="N67" s="5">
        <v>-34566.669999999664</v>
      </c>
      <c r="O67" s="14">
        <f t="shared" si="7"/>
        <v>-34566.669999999664</v>
      </c>
      <c r="P67" s="15" t="e">
        <f t="shared" si="8"/>
        <v>#DIV/0!</v>
      </c>
      <c r="Q67" s="16" t="e">
        <f t="shared" si="9"/>
        <v>#DIV/0!</v>
      </c>
      <c r="U67" s="14"/>
    </row>
    <row r="68" spans="1:21" x14ac:dyDescent="0.25">
      <c r="A68" s="7">
        <v>2282</v>
      </c>
      <c r="B68" s="126" t="s">
        <v>54</v>
      </c>
      <c r="C68" s="4">
        <f t="shared" si="11"/>
        <v>294809.44320000004</v>
      </c>
      <c r="D68" s="6">
        <v>1</v>
      </c>
      <c r="E68" s="82">
        <f t="shared" si="10"/>
        <v>0.12</v>
      </c>
      <c r="F68" s="128">
        <v>2030800.2000000004</v>
      </c>
      <c r="G68" s="128">
        <v>0</v>
      </c>
      <c r="H68" s="128">
        <v>171297.16</v>
      </c>
      <c r="I68" s="128">
        <v>126794.00000000003</v>
      </c>
      <c r="J68" s="128">
        <v>89454</v>
      </c>
      <c r="K68" s="128">
        <v>38400</v>
      </c>
      <c r="L68" s="5">
        <f t="shared" si="6"/>
        <v>2456745.3600000003</v>
      </c>
      <c r="M68" s="2">
        <f>Form!$E$5</f>
        <v>0</v>
      </c>
      <c r="N68" s="5">
        <v>-72885.850000000835</v>
      </c>
      <c r="O68" s="14">
        <f t="shared" si="7"/>
        <v>-72885.850000000835</v>
      </c>
      <c r="P68" s="15" t="e">
        <f t="shared" si="8"/>
        <v>#DIV/0!</v>
      </c>
      <c r="Q68" s="16" t="e">
        <f t="shared" si="9"/>
        <v>#DIV/0!</v>
      </c>
      <c r="U68" s="14"/>
    </row>
    <row r="69" spans="1:21" x14ac:dyDescent="0.25">
      <c r="A69" s="7">
        <v>2285</v>
      </c>
      <c r="B69" s="126" t="s">
        <v>55</v>
      </c>
      <c r="C69" s="4">
        <f t="shared" si="11"/>
        <v>117555.95159999999</v>
      </c>
      <c r="D69" s="6">
        <v>1</v>
      </c>
      <c r="E69" s="82">
        <f t="shared" si="10"/>
        <v>0.12</v>
      </c>
      <c r="F69" s="128">
        <v>877934.1</v>
      </c>
      <c r="G69" s="128">
        <v>0</v>
      </c>
      <c r="H69" s="128">
        <v>14244.829999999998</v>
      </c>
      <c r="I69" s="128">
        <v>45880.000000000007</v>
      </c>
      <c r="J69" s="128">
        <v>33715</v>
      </c>
      <c r="K69" s="128">
        <v>7859</v>
      </c>
      <c r="L69" s="5">
        <f t="shared" si="6"/>
        <v>979632.92999999993</v>
      </c>
      <c r="M69" s="2">
        <f>Form!$E$5</f>
        <v>0</v>
      </c>
      <c r="N69" s="5">
        <v>-82236.829999999973</v>
      </c>
      <c r="O69" s="14">
        <f t="shared" si="7"/>
        <v>-82236.829999999973</v>
      </c>
      <c r="P69" s="15" t="e">
        <f t="shared" si="8"/>
        <v>#DIV/0!</v>
      </c>
      <c r="Q69" s="16" t="e">
        <f t="shared" si="9"/>
        <v>#DIV/0!</v>
      </c>
      <c r="U69" s="14"/>
    </row>
    <row r="70" spans="1:21" x14ac:dyDescent="0.25">
      <c r="A70" s="7">
        <v>2289</v>
      </c>
      <c r="B70" s="126" t="s">
        <v>56</v>
      </c>
      <c r="C70" s="4">
        <f t="shared" si="11"/>
        <v>84781.352400000018</v>
      </c>
      <c r="D70" s="6">
        <v>1</v>
      </c>
      <c r="E70" s="82">
        <f t="shared" si="10"/>
        <v>0.12</v>
      </c>
      <c r="F70" s="128">
        <v>622217.85000000009</v>
      </c>
      <c r="G70" s="128">
        <v>0</v>
      </c>
      <c r="H70" s="128">
        <v>11490.42</v>
      </c>
      <c r="I70" s="128">
        <v>22200</v>
      </c>
      <c r="J70" s="128">
        <v>35758</v>
      </c>
      <c r="K70" s="128">
        <v>14845</v>
      </c>
      <c r="L70" s="5">
        <f t="shared" si="6"/>
        <v>706511.27000000014</v>
      </c>
      <c r="M70" s="2">
        <f>Form!$E$5</f>
        <v>0</v>
      </c>
      <c r="N70" s="5">
        <v>-38760.499999999724</v>
      </c>
      <c r="O70" s="14">
        <f t="shared" si="7"/>
        <v>-38760.499999999724</v>
      </c>
      <c r="P70" s="15" t="e">
        <f t="shared" si="8"/>
        <v>#DIV/0!</v>
      </c>
      <c r="Q70" s="16" t="e">
        <f t="shared" si="9"/>
        <v>#DIV/0!</v>
      </c>
      <c r="U70" s="14"/>
    </row>
    <row r="71" spans="1:21" x14ac:dyDescent="0.25">
      <c r="A71" s="7">
        <v>2298</v>
      </c>
      <c r="B71" s="126" t="s">
        <v>57</v>
      </c>
      <c r="C71" s="4">
        <f t="shared" si="11"/>
        <v>263327.55599999998</v>
      </c>
      <c r="D71" s="6">
        <v>1</v>
      </c>
      <c r="E71" s="82">
        <f t="shared" si="10"/>
        <v>0.12</v>
      </c>
      <c r="F71" s="128">
        <v>1896535.92</v>
      </c>
      <c r="G71" s="128">
        <v>0</v>
      </c>
      <c r="H71" s="128">
        <v>77103.380000000019</v>
      </c>
      <c r="I71" s="128">
        <v>134861</v>
      </c>
      <c r="J71" s="128">
        <v>77653</v>
      </c>
      <c r="K71" s="128">
        <v>8243</v>
      </c>
      <c r="L71" s="5">
        <f t="shared" si="6"/>
        <v>2194396.2999999998</v>
      </c>
      <c r="M71" s="2">
        <f>Form!$E$5</f>
        <v>0</v>
      </c>
      <c r="N71" s="5">
        <v>-232736</v>
      </c>
      <c r="O71" s="14">
        <f t="shared" si="7"/>
        <v>-232736</v>
      </c>
      <c r="P71" s="15" t="e">
        <f t="shared" si="8"/>
        <v>#DIV/0!</v>
      </c>
      <c r="Q71" s="16" t="e">
        <f t="shared" si="9"/>
        <v>#DIV/0!</v>
      </c>
      <c r="U71" s="14"/>
    </row>
    <row r="72" spans="1:21" x14ac:dyDescent="0.25">
      <c r="A72" s="7">
        <v>2300</v>
      </c>
      <c r="B72" s="126" t="s">
        <v>58</v>
      </c>
      <c r="C72" s="4">
        <f t="shared" si="11"/>
        <v>135715.14840000001</v>
      </c>
      <c r="D72" s="6">
        <v>1</v>
      </c>
      <c r="E72" s="82">
        <f t="shared" si="10"/>
        <v>0.12</v>
      </c>
      <c r="F72" s="128">
        <v>926207.62</v>
      </c>
      <c r="G72" s="128">
        <v>0</v>
      </c>
      <c r="H72" s="128">
        <v>87062.950000000012</v>
      </c>
      <c r="I72" s="128">
        <v>47700.000000000007</v>
      </c>
      <c r="J72" s="128">
        <v>49655</v>
      </c>
      <c r="K72" s="128">
        <v>20334</v>
      </c>
      <c r="L72" s="5">
        <f t="shared" si="6"/>
        <v>1130959.57</v>
      </c>
      <c r="M72" s="2">
        <f>Form!$E$5</f>
        <v>0</v>
      </c>
      <c r="N72" s="5">
        <v>-51673.239999999743</v>
      </c>
      <c r="O72" s="14">
        <f t="shared" si="7"/>
        <v>-51673.239999999743</v>
      </c>
      <c r="P72" s="15" t="e">
        <f t="shared" si="8"/>
        <v>#DIV/0!</v>
      </c>
      <c r="Q72" s="16" t="e">
        <f t="shared" si="9"/>
        <v>#DIV/0!</v>
      </c>
      <c r="U72" s="14"/>
    </row>
    <row r="73" spans="1:21" x14ac:dyDescent="0.25">
      <c r="A73" s="7">
        <v>2312</v>
      </c>
      <c r="B73" s="126" t="s">
        <v>59</v>
      </c>
      <c r="C73" s="4">
        <f t="shared" si="11"/>
        <v>295645.63559999998</v>
      </c>
      <c r="D73" s="6">
        <v>1</v>
      </c>
      <c r="E73" s="82">
        <f t="shared" si="10"/>
        <v>0.12</v>
      </c>
      <c r="F73" s="128">
        <v>2072329.6099999999</v>
      </c>
      <c r="G73" s="128">
        <v>0</v>
      </c>
      <c r="H73" s="128">
        <v>151208.01999999999</v>
      </c>
      <c r="I73" s="128">
        <v>125650.00000000003</v>
      </c>
      <c r="J73" s="128">
        <v>73566</v>
      </c>
      <c r="K73" s="128">
        <v>40960</v>
      </c>
      <c r="L73" s="5">
        <f t="shared" si="6"/>
        <v>2463713.63</v>
      </c>
      <c r="M73" s="2">
        <f>Form!$E$5</f>
        <v>0</v>
      </c>
      <c r="N73" s="5">
        <v>-239162.27000000046</v>
      </c>
      <c r="O73" s="14">
        <f t="shared" si="7"/>
        <v>-239162.27000000046</v>
      </c>
      <c r="P73" s="15" t="e">
        <f t="shared" si="8"/>
        <v>#DIV/0!</v>
      </c>
      <c r="Q73" s="16" t="e">
        <f t="shared" si="9"/>
        <v>#DIV/0!</v>
      </c>
      <c r="U73" s="14"/>
    </row>
    <row r="74" spans="1:21" x14ac:dyDescent="0.25">
      <c r="A74" s="7">
        <v>2318</v>
      </c>
      <c r="B74" s="126" t="s">
        <v>60</v>
      </c>
      <c r="C74" s="4">
        <f t="shared" si="11"/>
        <v>83115.259199999971</v>
      </c>
      <c r="D74" s="6">
        <v>1</v>
      </c>
      <c r="E74" s="82">
        <f t="shared" si="10"/>
        <v>0.12</v>
      </c>
      <c r="F74" s="128">
        <v>590051.20999999985</v>
      </c>
      <c r="G74" s="128">
        <v>0</v>
      </c>
      <c r="H74" s="128">
        <v>40641.950000000004</v>
      </c>
      <c r="I74" s="128">
        <v>26930</v>
      </c>
      <c r="J74" s="128">
        <v>30014</v>
      </c>
      <c r="K74" s="128">
        <v>4990</v>
      </c>
      <c r="L74" s="5">
        <f t="shared" si="6"/>
        <v>692627.1599999998</v>
      </c>
      <c r="M74" s="2">
        <f>Form!$E$5</f>
        <v>0</v>
      </c>
      <c r="N74" s="5">
        <v>-69434.839999999575</v>
      </c>
      <c r="O74" s="14">
        <f t="shared" si="7"/>
        <v>-69434.839999999575</v>
      </c>
      <c r="P74" s="15" t="e">
        <f t="shared" si="8"/>
        <v>#DIV/0!</v>
      </c>
      <c r="Q74" s="16" t="e">
        <f t="shared" si="9"/>
        <v>#DIV/0!</v>
      </c>
      <c r="U74" s="14"/>
    </row>
    <row r="75" spans="1:21" x14ac:dyDescent="0.25">
      <c r="A75" s="7">
        <v>2320</v>
      </c>
      <c r="B75" s="126" t="s">
        <v>61</v>
      </c>
      <c r="C75" s="4">
        <f t="shared" si="11"/>
        <v>104320.78440000002</v>
      </c>
      <c r="D75" s="6">
        <v>1</v>
      </c>
      <c r="E75" s="82">
        <f t="shared" si="10"/>
        <v>0.12</v>
      </c>
      <c r="F75" s="128">
        <v>671559.32000000018</v>
      </c>
      <c r="G75" s="128">
        <v>0</v>
      </c>
      <c r="H75" s="128">
        <v>66171.55</v>
      </c>
      <c r="I75" s="128">
        <v>84740.000000000015</v>
      </c>
      <c r="J75" s="128">
        <v>29529</v>
      </c>
      <c r="K75" s="128">
        <v>17340</v>
      </c>
      <c r="L75" s="5">
        <f t="shared" si="6"/>
        <v>869339.87000000023</v>
      </c>
      <c r="M75" s="2">
        <f>Form!$E$5</f>
        <v>0</v>
      </c>
      <c r="N75" s="5">
        <v>-32246.299999999756</v>
      </c>
      <c r="O75" s="14">
        <f t="shared" si="7"/>
        <v>-32246.299999999756</v>
      </c>
      <c r="P75" s="15" t="e">
        <f t="shared" si="8"/>
        <v>#DIV/0!</v>
      </c>
      <c r="Q75" s="16" t="e">
        <f t="shared" si="9"/>
        <v>#DIV/0!</v>
      </c>
      <c r="U75" s="14"/>
    </row>
    <row r="76" spans="1:21" x14ac:dyDescent="0.25">
      <c r="A76" s="7">
        <v>2321</v>
      </c>
      <c r="B76" s="126" t="s">
        <v>62</v>
      </c>
      <c r="C76" s="4">
        <f t="shared" si="11"/>
        <v>71462.438399999999</v>
      </c>
      <c r="D76" s="6">
        <v>1</v>
      </c>
      <c r="E76" s="82">
        <f t="shared" si="10"/>
        <v>0.12</v>
      </c>
      <c r="F76" s="128">
        <v>494670.06000000006</v>
      </c>
      <c r="G76" s="128">
        <v>0</v>
      </c>
      <c r="H76" s="128">
        <v>40132.26</v>
      </c>
      <c r="I76" s="128">
        <v>21810</v>
      </c>
      <c r="J76" s="128">
        <v>29577</v>
      </c>
      <c r="K76" s="128">
        <v>9331</v>
      </c>
      <c r="L76" s="5">
        <f t="shared" si="6"/>
        <v>595520.32000000007</v>
      </c>
      <c r="M76" s="2">
        <f>Form!$E$5</f>
        <v>0</v>
      </c>
      <c r="N76" s="5">
        <v>-54846.239999999932</v>
      </c>
      <c r="O76" s="14">
        <f t="shared" si="7"/>
        <v>-54846.239999999932</v>
      </c>
      <c r="P76" s="15" t="e">
        <f t="shared" si="8"/>
        <v>#DIV/0!</v>
      </c>
      <c r="Q76" s="16" t="e">
        <f t="shared" si="9"/>
        <v>#DIV/0!</v>
      </c>
      <c r="U76" s="14"/>
    </row>
    <row r="77" spans="1:21" x14ac:dyDescent="0.25">
      <c r="A77" s="7">
        <v>2322</v>
      </c>
      <c r="B77" s="126" t="s">
        <v>63</v>
      </c>
      <c r="C77" s="4">
        <f t="shared" si="11"/>
        <v>95127.154799999989</v>
      </c>
      <c r="D77" s="6">
        <v>1</v>
      </c>
      <c r="E77" s="82">
        <f t="shared" si="10"/>
        <v>0.12</v>
      </c>
      <c r="F77" s="128">
        <v>669249.09</v>
      </c>
      <c r="G77" s="128">
        <v>0</v>
      </c>
      <c r="H77" s="128">
        <v>37512.200000000004</v>
      </c>
      <c r="I77" s="128">
        <v>29110</v>
      </c>
      <c r="J77" s="128">
        <v>38891</v>
      </c>
      <c r="K77" s="128">
        <v>17964</v>
      </c>
      <c r="L77" s="5">
        <f t="shared" si="6"/>
        <v>792726.28999999992</v>
      </c>
      <c r="M77" s="2">
        <f>Form!$E$5</f>
        <v>0</v>
      </c>
      <c r="N77" s="5">
        <v>-49527.679999999978</v>
      </c>
      <c r="O77" s="14">
        <f t="shared" si="7"/>
        <v>-49527.679999999978</v>
      </c>
      <c r="P77" s="15" t="e">
        <f t="shared" si="8"/>
        <v>#DIV/0!</v>
      </c>
      <c r="Q77" s="16" t="e">
        <f t="shared" si="9"/>
        <v>#DIV/0!</v>
      </c>
      <c r="U77" s="14"/>
    </row>
    <row r="78" spans="1:21" x14ac:dyDescent="0.25">
      <c r="A78" s="7">
        <v>2326</v>
      </c>
      <c r="B78" s="126" t="s">
        <v>64</v>
      </c>
      <c r="C78" s="4">
        <f t="shared" si="11"/>
        <v>147498.55200000003</v>
      </c>
      <c r="D78" s="6">
        <v>1</v>
      </c>
      <c r="E78" s="82">
        <f t="shared" si="10"/>
        <v>0.12</v>
      </c>
      <c r="F78" s="128">
        <v>984304.91000000027</v>
      </c>
      <c r="G78" s="128">
        <v>0</v>
      </c>
      <c r="H78" s="128">
        <v>110715.68999999999</v>
      </c>
      <c r="I78" s="128">
        <v>57170.000000000007</v>
      </c>
      <c r="J78" s="128">
        <v>45732</v>
      </c>
      <c r="K78" s="128">
        <v>31232</v>
      </c>
      <c r="L78" s="5">
        <f t="shared" si="6"/>
        <v>1229154.6000000003</v>
      </c>
      <c r="M78" s="2">
        <f>Form!$E$5</f>
        <v>0</v>
      </c>
      <c r="N78" s="5">
        <v>-145980.90999999968</v>
      </c>
      <c r="O78" s="14">
        <f t="shared" si="7"/>
        <v>-145980.90999999968</v>
      </c>
      <c r="P78" s="15" t="e">
        <f t="shared" si="8"/>
        <v>#DIV/0!</v>
      </c>
      <c r="Q78" s="16" t="e">
        <f t="shared" si="9"/>
        <v>#DIV/0!</v>
      </c>
      <c r="U78" s="14"/>
    </row>
    <row r="79" spans="1:21" x14ac:dyDescent="0.25">
      <c r="A79" s="7">
        <v>2328</v>
      </c>
      <c r="B79" s="126" t="s">
        <v>65</v>
      </c>
      <c r="C79" s="4">
        <f t="shared" si="11"/>
        <v>200180.7084</v>
      </c>
      <c r="D79" s="6">
        <v>1</v>
      </c>
      <c r="E79" s="82">
        <f t="shared" si="10"/>
        <v>0.12</v>
      </c>
      <c r="F79" s="128">
        <v>1369053.53</v>
      </c>
      <c r="G79" s="128">
        <v>0</v>
      </c>
      <c r="H79" s="128">
        <v>94880.04</v>
      </c>
      <c r="I79" s="128">
        <v>73610</v>
      </c>
      <c r="J79" s="128">
        <v>105679</v>
      </c>
      <c r="K79" s="128">
        <v>24950</v>
      </c>
      <c r="L79" s="5">
        <f t="shared" si="6"/>
        <v>1668172.57</v>
      </c>
      <c r="M79" s="2">
        <f>Form!$E$5</f>
        <v>0</v>
      </c>
      <c r="N79" s="5">
        <v>-108901.33999999933</v>
      </c>
      <c r="O79" s="14">
        <f t="shared" si="7"/>
        <v>-108901.33999999933</v>
      </c>
      <c r="P79" s="15" t="e">
        <f t="shared" si="8"/>
        <v>#DIV/0!</v>
      </c>
      <c r="Q79" s="16" t="e">
        <f t="shared" si="9"/>
        <v>#DIV/0!</v>
      </c>
      <c r="U79" s="14"/>
    </row>
    <row r="80" spans="1:21" x14ac:dyDescent="0.25">
      <c r="A80" s="7">
        <v>2329</v>
      </c>
      <c r="B80" s="126" t="s">
        <v>66</v>
      </c>
      <c r="C80" s="4">
        <f t="shared" si="11"/>
        <v>201374.88000000006</v>
      </c>
      <c r="D80" s="6">
        <v>1</v>
      </c>
      <c r="E80" s="82">
        <f t="shared" si="10"/>
        <v>0.12</v>
      </c>
      <c r="F80" s="128">
        <v>1406508.1500000004</v>
      </c>
      <c r="G80" s="128">
        <v>0</v>
      </c>
      <c r="H80" s="128">
        <v>53184.849999999991</v>
      </c>
      <c r="I80" s="128">
        <v>96210</v>
      </c>
      <c r="J80" s="128">
        <v>78701</v>
      </c>
      <c r="K80" s="128">
        <v>43520</v>
      </c>
      <c r="L80" s="5">
        <f t="shared" si="6"/>
        <v>1678124.0000000005</v>
      </c>
      <c r="M80" s="2">
        <f>Form!$E$5</f>
        <v>0</v>
      </c>
      <c r="N80" s="5">
        <v>-210134.29000000044</v>
      </c>
      <c r="O80" s="14">
        <f t="shared" si="7"/>
        <v>-210134.29000000044</v>
      </c>
      <c r="P80" s="15" t="e">
        <f t="shared" si="8"/>
        <v>#DIV/0!</v>
      </c>
      <c r="Q80" s="16" t="e">
        <f t="shared" si="9"/>
        <v>#DIV/0!</v>
      </c>
      <c r="U80" s="14"/>
    </row>
    <row r="81" spans="1:21" x14ac:dyDescent="0.25">
      <c r="A81" s="7">
        <v>2337</v>
      </c>
      <c r="B81" s="126" t="s">
        <v>67</v>
      </c>
      <c r="C81" s="4">
        <f t="shared" si="11"/>
        <v>193367.7072</v>
      </c>
      <c r="D81" s="6">
        <v>1</v>
      </c>
      <c r="E81" s="82">
        <f t="shared" si="10"/>
        <v>0.12</v>
      </c>
      <c r="F81" s="128">
        <v>1290396.72</v>
      </c>
      <c r="G81" s="128">
        <v>0</v>
      </c>
      <c r="H81" s="128">
        <v>126412.84000000001</v>
      </c>
      <c r="I81" s="128">
        <v>90870</v>
      </c>
      <c r="J81" s="128">
        <v>83633</v>
      </c>
      <c r="K81" s="128">
        <v>20085</v>
      </c>
      <c r="L81" s="5">
        <f t="shared" si="6"/>
        <v>1611397.56</v>
      </c>
      <c r="M81" s="2">
        <f>Form!$E$5</f>
        <v>0</v>
      </c>
      <c r="N81" s="5">
        <v>-80738.960000000574</v>
      </c>
      <c r="O81" s="14">
        <f t="shared" si="7"/>
        <v>-80738.960000000574</v>
      </c>
      <c r="P81" s="15" t="e">
        <f t="shared" si="8"/>
        <v>#DIV/0!</v>
      </c>
      <c r="Q81" s="16" t="e">
        <f t="shared" si="9"/>
        <v>#DIV/0!</v>
      </c>
      <c r="U81" s="14"/>
    </row>
    <row r="82" spans="1:21" x14ac:dyDescent="0.25">
      <c r="A82" s="7">
        <v>2340</v>
      </c>
      <c r="B82" s="126" t="s">
        <v>68</v>
      </c>
      <c r="C82" s="4">
        <f t="shared" si="11"/>
        <v>146018.89319999999</v>
      </c>
      <c r="D82" s="6">
        <v>1</v>
      </c>
      <c r="E82" s="82">
        <f t="shared" si="10"/>
        <v>0.12</v>
      </c>
      <c r="F82" s="128">
        <v>916635.38</v>
      </c>
      <c r="G82" s="128">
        <v>0</v>
      </c>
      <c r="H82" s="128">
        <v>113507.73000000001</v>
      </c>
      <c r="I82" s="128">
        <v>111025</v>
      </c>
      <c r="J82" s="128">
        <v>48008</v>
      </c>
      <c r="K82" s="128">
        <v>27648</v>
      </c>
      <c r="L82" s="5">
        <f t="shared" si="6"/>
        <v>1216824.1099999999</v>
      </c>
      <c r="M82" s="2">
        <f>Form!$E$5</f>
        <v>0</v>
      </c>
      <c r="N82" s="5">
        <v>-112510.97000000023</v>
      </c>
      <c r="O82" s="14">
        <f t="shared" si="7"/>
        <v>-112510.97000000023</v>
      </c>
      <c r="P82" s="15" t="e">
        <f t="shared" si="8"/>
        <v>#DIV/0!</v>
      </c>
      <c r="Q82" s="16" t="e">
        <f t="shared" si="9"/>
        <v>#DIV/0!</v>
      </c>
      <c r="U82" s="14"/>
    </row>
    <row r="83" spans="1:21" x14ac:dyDescent="0.25">
      <c r="A83" s="7">
        <v>2345</v>
      </c>
      <c r="B83" s="126" t="s">
        <v>69</v>
      </c>
      <c r="C83" s="4">
        <f t="shared" si="11"/>
        <v>143653.40399999998</v>
      </c>
      <c r="D83" s="6">
        <v>1</v>
      </c>
      <c r="E83" s="82">
        <f t="shared" si="10"/>
        <v>0.12</v>
      </c>
      <c r="F83" s="128">
        <v>902791.71</v>
      </c>
      <c r="G83" s="128">
        <v>0</v>
      </c>
      <c r="H83" s="128">
        <v>126587.6</v>
      </c>
      <c r="I83" s="128">
        <v>96418.39</v>
      </c>
      <c r="J83" s="128">
        <v>40338</v>
      </c>
      <c r="K83" s="128">
        <v>30976</v>
      </c>
      <c r="L83" s="5">
        <f t="shared" si="6"/>
        <v>1197111.7</v>
      </c>
      <c r="M83" s="2">
        <f>Form!$E$5</f>
        <v>0</v>
      </c>
      <c r="N83" s="5">
        <v>-52723.150000000271</v>
      </c>
      <c r="O83" s="14">
        <f t="shared" si="7"/>
        <v>-52723.150000000271</v>
      </c>
      <c r="P83" s="15" t="e">
        <f t="shared" si="8"/>
        <v>#DIV/0!</v>
      </c>
      <c r="Q83" s="16" t="e">
        <f t="shared" si="9"/>
        <v>#DIV/0!</v>
      </c>
      <c r="U83" s="14"/>
    </row>
    <row r="84" spans="1:21" x14ac:dyDescent="0.25">
      <c r="A84" s="7">
        <v>2431</v>
      </c>
      <c r="B84" s="126" t="s">
        <v>70</v>
      </c>
      <c r="C84" s="4">
        <f t="shared" si="11"/>
        <v>333415.30319999997</v>
      </c>
      <c r="D84" s="6">
        <v>1</v>
      </c>
      <c r="E84" s="82">
        <f t="shared" si="10"/>
        <v>0.12</v>
      </c>
      <c r="F84" s="128">
        <v>2407563.96</v>
      </c>
      <c r="G84" s="128">
        <v>0</v>
      </c>
      <c r="H84" s="128">
        <v>109225.9</v>
      </c>
      <c r="I84" s="128">
        <v>219040.00000000006</v>
      </c>
      <c r="J84" s="128">
        <v>20871</v>
      </c>
      <c r="K84" s="128">
        <v>21760</v>
      </c>
      <c r="L84" s="5">
        <f t="shared" si="6"/>
        <v>2778460.86</v>
      </c>
      <c r="M84" s="2">
        <f>Form!$E$5</f>
        <v>0</v>
      </c>
      <c r="N84" s="5">
        <v>-67876.4999999992</v>
      </c>
      <c r="O84" s="14">
        <f t="shared" si="7"/>
        <v>-67876.4999999992</v>
      </c>
      <c r="P84" s="15" t="e">
        <f t="shared" si="8"/>
        <v>#DIV/0!</v>
      </c>
      <c r="Q84" s="16" t="e">
        <f t="shared" si="9"/>
        <v>#DIV/0!</v>
      </c>
      <c r="U84" s="14"/>
    </row>
    <row r="85" spans="1:21" x14ac:dyDescent="0.25">
      <c r="A85" s="7">
        <v>2434</v>
      </c>
      <c r="B85" s="126" t="s">
        <v>71</v>
      </c>
      <c r="C85" s="4">
        <f t="shared" si="11"/>
        <v>444500.54999999987</v>
      </c>
      <c r="D85" s="6">
        <v>1</v>
      </c>
      <c r="E85" s="82">
        <f t="shared" si="10"/>
        <v>0.12</v>
      </c>
      <c r="F85" s="128">
        <v>2968757.939999999</v>
      </c>
      <c r="G85" s="128">
        <v>0</v>
      </c>
      <c r="H85" s="128">
        <v>172501.31</v>
      </c>
      <c r="I85" s="128">
        <v>448370.00000000012</v>
      </c>
      <c r="J85" s="128">
        <v>34158</v>
      </c>
      <c r="K85" s="128">
        <v>80384</v>
      </c>
      <c r="L85" s="5">
        <f t="shared" si="6"/>
        <v>3704171.2499999991</v>
      </c>
      <c r="M85" s="2">
        <f>Form!$E$5</f>
        <v>0</v>
      </c>
      <c r="N85" s="5">
        <v>-349767.59999999974</v>
      </c>
      <c r="O85" s="14">
        <f t="shared" si="7"/>
        <v>-349767.59999999974</v>
      </c>
      <c r="P85" s="15" t="e">
        <f t="shared" si="8"/>
        <v>#DIV/0!</v>
      </c>
      <c r="Q85" s="16" t="e">
        <f t="shared" si="9"/>
        <v>#DIV/0!</v>
      </c>
      <c r="U85" s="14"/>
    </row>
    <row r="86" spans="1:21" x14ac:dyDescent="0.25">
      <c r="A86" s="7">
        <v>2454</v>
      </c>
      <c r="B86" s="126" t="s">
        <v>72</v>
      </c>
      <c r="C86" s="4">
        <f t="shared" si="11"/>
        <v>117796.01039999998</v>
      </c>
      <c r="D86" s="6">
        <v>1</v>
      </c>
      <c r="E86" s="82">
        <f t="shared" si="10"/>
        <v>0.12</v>
      </c>
      <c r="F86" s="128">
        <v>705397.64</v>
      </c>
      <c r="G86" s="128">
        <v>0</v>
      </c>
      <c r="H86" s="128">
        <v>139554.77999999997</v>
      </c>
      <c r="I86" s="128">
        <v>86930</v>
      </c>
      <c r="J86" s="128">
        <v>26922</v>
      </c>
      <c r="K86" s="128">
        <v>22829</v>
      </c>
      <c r="L86" s="5">
        <f t="shared" si="6"/>
        <v>981633.41999999993</v>
      </c>
      <c r="M86" s="2">
        <f>Form!$E$5</f>
        <v>0</v>
      </c>
      <c r="N86" s="5">
        <v>-113176.89999999982</v>
      </c>
      <c r="O86" s="14">
        <f t="shared" si="7"/>
        <v>-113176.89999999982</v>
      </c>
      <c r="P86" s="15" t="e">
        <f t="shared" si="8"/>
        <v>#DIV/0!</v>
      </c>
      <c r="Q86" s="16" t="e">
        <f t="shared" si="9"/>
        <v>#DIV/0!</v>
      </c>
      <c r="U86" s="14"/>
    </row>
    <row r="87" spans="1:21" x14ac:dyDescent="0.25">
      <c r="A87" s="7">
        <v>2459</v>
      </c>
      <c r="B87" s="126" t="s">
        <v>73</v>
      </c>
      <c r="C87" s="4">
        <f t="shared" si="11"/>
        <v>190119.70800000001</v>
      </c>
      <c r="D87" s="6">
        <v>1</v>
      </c>
      <c r="E87" s="82">
        <f t="shared" si="10"/>
        <v>0.12</v>
      </c>
      <c r="F87" s="128">
        <v>1294479.6800000002</v>
      </c>
      <c r="G87" s="128">
        <v>0</v>
      </c>
      <c r="H87" s="128">
        <v>85577.219999999987</v>
      </c>
      <c r="I87" s="128">
        <v>26950</v>
      </c>
      <c r="J87" s="128">
        <v>138412</v>
      </c>
      <c r="K87" s="128">
        <v>38912</v>
      </c>
      <c r="L87" s="5">
        <f t="shared" si="6"/>
        <v>1584330.9000000001</v>
      </c>
      <c r="M87" s="2">
        <f>Form!$E$5</f>
        <v>0</v>
      </c>
      <c r="N87" s="5">
        <v>-17947.749999999935</v>
      </c>
      <c r="O87" s="14">
        <f t="shared" si="7"/>
        <v>-17947.749999999935</v>
      </c>
      <c r="P87" s="15" t="e">
        <f t="shared" si="8"/>
        <v>#DIV/0!</v>
      </c>
      <c r="Q87" s="16" t="e">
        <f t="shared" si="9"/>
        <v>#DIV/0!</v>
      </c>
      <c r="U87" s="14"/>
    </row>
    <row r="88" spans="1:21" x14ac:dyDescent="0.25">
      <c r="A88" s="7">
        <v>2465</v>
      </c>
      <c r="B88" s="126" t="s">
        <v>74</v>
      </c>
      <c r="C88" s="4">
        <f t="shared" si="11"/>
        <v>279230.2379999999</v>
      </c>
      <c r="D88" s="6">
        <v>1</v>
      </c>
      <c r="E88" s="82">
        <f t="shared" si="10"/>
        <v>0.12</v>
      </c>
      <c r="F88" s="128">
        <v>2099294.8699999996</v>
      </c>
      <c r="G88" s="128">
        <v>0</v>
      </c>
      <c r="H88" s="128">
        <v>71105.780000000013</v>
      </c>
      <c r="I88" s="128">
        <v>21030</v>
      </c>
      <c r="J88" s="128">
        <v>96832</v>
      </c>
      <c r="K88" s="128">
        <v>38656</v>
      </c>
      <c r="L88" s="5">
        <f t="shared" si="6"/>
        <v>2326918.6499999994</v>
      </c>
      <c r="M88" s="2">
        <f>Form!$E$5</f>
        <v>0</v>
      </c>
      <c r="N88" s="5">
        <v>-193976.26999999973</v>
      </c>
      <c r="O88" s="14">
        <f t="shared" si="7"/>
        <v>-193976.26999999973</v>
      </c>
      <c r="P88" s="15" t="e">
        <f t="shared" si="8"/>
        <v>#DIV/0!</v>
      </c>
      <c r="Q88" s="16" t="e">
        <f t="shared" si="9"/>
        <v>#DIV/0!</v>
      </c>
      <c r="U88" s="14"/>
    </row>
    <row r="89" spans="1:21" x14ac:dyDescent="0.25">
      <c r="A89" s="7">
        <v>2471</v>
      </c>
      <c r="B89" s="126" t="s">
        <v>326</v>
      </c>
      <c r="C89" s="4">
        <f t="shared" si="11"/>
        <v>824228.93760000006</v>
      </c>
      <c r="D89" s="6">
        <v>1</v>
      </c>
      <c r="E89" s="82">
        <f t="shared" si="10"/>
        <v>0.12</v>
      </c>
      <c r="F89" s="128">
        <v>4503658.3100000005</v>
      </c>
      <c r="G89" s="128">
        <v>0</v>
      </c>
      <c r="H89" s="128">
        <v>1909072.3700000003</v>
      </c>
      <c r="I89" s="128">
        <v>327358.8</v>
      </c>
      <c r="J89" s="128">
        <v>63461</v>
      </c>
      <c r="K89" s="128">
        <v>65024</v>
      </c>
      <c r="L89" s="5">
        <f t="shared" si="6"/>
        <v>6868574.4800000004</v>
      </c>
      <c r="M89" s="2">
        <f>Form!$E$5</f>
        <v>0</v>
      </c>
      <c r="N89" s="5">
        <v>-583636.2300000001</v>
      </c>
      <c r="O89" s="14">
        <f t="shared" si="7"/>
        <v>-583636.2300000001</v>
      </c>
      <c r="P89" s="15" t="e">
        <f t="shared" si="8"/>
        <v>#DIV/0!</v>
      </c>
      <c r="Q89" s="16" t="e">
        <f t="shared" si="9"/>
        <v>#DIV/0!</v>
      </c>
      <c r="U89" s="14"/>
    </row>
    <row r="90" spans="1:21" x14ac:dyDescent="0.25">
      <c r="A90" s="7">
        <v>2474</v>
      </c>
      <c r="B90" s="126" t="s">
        <v>75</v>
      </c>
      <c r="C90" s="4">
        <f t="shared" si="11"/>
        <v>221208.54240000001</v>
      </c>
      <c r="D90" s="6">
        <v>1</v>
      </c>
      <c r="E90" s="82">
        <f t="shared" si="10"/>
        <v>0.12</v>
      </c>
      <c r="F90" s="128">
        <v>1444622.26</v>
      </c>
      <c r="G90" s="128">
        <v>0</v>
      </c>
      <c r="H90" s="128">
        <v>176992.25999999998</v>
      </c>
      <c r="I90" s="128">
        <v>111540.00000000003</v>
      </c>
      <c r="J90" s="128">
        <v>98773</v>
      </c>
      <c r="K90" s="128">
        <v>11477</v>
      </c>
      <c r="L90" s="5">
        <f t="shared" si="6"/>
        <v>1843404.52</v>
      </c>
      <c r="M90" s="2">
        <f>Form!$E$5</f>
        <v>0</v>
      </c>
      <c r="N90" s="5">
        <v>-86265.240000000398</v>
      </c>
      <c r="O90" s="14">
        <f t="shared" si="7"/>
        <v>-86265.240000000398</v>
      </c>
      <c r="P90" s="15" t="e">
        <f t="shared" si="8"/>
        <v>#DIV/0!</v>
      </c>
      <c r="Q90" s="16" t="e">
        <f t="shared" si="9"/>
        <v>#DIV/0!</v>
      </c>
      <c r="U90" s="14"/>
    </row>
    <row r="91" spans="1:21" x14ac:dyDescent="0.25">
      <c r="A91" s="7">
        <v>2482</v>
      </c>
      <c r="B91" s="126" t="s">
        <v>76</v>
      </c>
      <c r="C91" s="4">
        <f t="shared" si="11"/>
        <v>275928.18239999999</v>
      </c>
      <c r="D91" s="6">
        <v>1</v>
      </c>
      <c r="E91" s="82">
        <f t="shared" si="10"/>
        <v>0.12</v>
      </c>
      <c r="F91" s="128">
        <v>1991762.1400000001</v>
      </c>
      <c r="G91" s="128">
        <v>0</v>
      </c>
      <c r="H91" s="128">
        <v>132477.38000000003</v>
      </c>
      <c r="I91" s="128">
        <v>42840.000000000007</v>
      </c>
      <c r="J91" s="128">
        <v>93154</v>
      </c>
      <c r="K91" s="128">
        <v>39168</v>
      </c>
      <c r="L91" s="5">
        <f t="shared" si="6"/>
        <v>2299401.52</v>
      </c>
      <c r="M91" s="2">
        <f>Form!$E$5</f>
        <v>0</v>
      </c>
      <c r="N91" s="5">
        <v>-122136.94999999934</v>
      </c>
      <c r="O91" s="14">
        <f t="shared" si="7"/>
        <v>-122136.94999999934</v>
      </c>
      <c r="P91" s="15" t="e">
        <f t="shared" si="8"/>
        <v>#DIV/0!</v>
      </c>
      <c r="Q91" s="16" t="e">
        <f t="shared" si="9"/>
        <v>#DIV/0!</v>
      </c>
      <c r="U91" s="14"/>
    </row>
    <row r="92" spans="1:21" x14ac:dyDescent="0.25">
      <c r="A92" s="7">
        <v>2490</v>
      </c>
      <c r="B92" s="126" t="s">
        <v>77</v>
      </c>
      <c r="C92" s="4">
        <f t="shared" si="11"/>
        <v>170601.46679999999</v>
      </c>
      <c r="D92" s="6">
        <v>1</v>
      </c>
      <c r="E92" s="82">
        <f t="shared" si="10"/>
        <v>0.12</v>
      </c>
      <c r="F92" s="128">
        <v>1130829.7899999998</v>
      </c>
      <c r="G92" s="128">
        <v>0</v>
      </c>
      <c r="H92" s="128">
        <v>173277.1</v>
      </c>
      <c r="I92" s="128">
        <v>42530</v>
      </c>
      <c r="J92" s="128">
        <v>43810</v>
      </c>
      <c r="K92" s="128">
        <v>31232</v>
      </c>
      <c r="L92" s="5">
        <f t="shared" si="6"/>
        <v>1421678.89</v>
      </c>
      <c r="M92" s="2">
        <f>Form!$E$5</f>
        <v>0</v>
      </c>
      <c r="N92" s="5">
        <v>-71026.550000000541</v>
      </c>
      <c r="O92" s="14">
        <f t="shared" si="7"/>
        <v>-71026.550000000541</v>
      </c>
      <c r="P92" s="15" t="e">
        <f t="shared" si="8"/>
        <v>#DIV/0!</v>
      </c>
      <c r="Q92" s="16" t="e">
        <f t="shared" si="9"/>
        <v>#DIV/0!</v>
      </c>
      <c r="U92" s="14"/>
    </row>
    <row r="93" spans="1:21" x14ac:dyDescent="0.25">
      <c r="A93" s="7">
        <v>2509</v>
      </c>
      <c r="B93" s="126" t="s">
        <v>78</v>
      </c>
      <c r="C93" s="4">
        <f t="shared" si="11"/>
        <v>264096.79200000002</v>
      </c>
      <c r="D93" s="6">
        <v>1</v>
      </c>
      <c r="E93" s="82">
        <f t="shared" si="10"/>
        <v>0.12</v>
      </c>
      <c r="F93" s="128">
        <v>1911070.4500000002</v>
      </c>
      <c r="G93" s="128">
        <v>0</v>
      </c>
      <c r="H93" s="128">
        <v>36350.149999999994</v>
      </c>
      <c r="I93" s="128">
        <v>117620.00000000001</v>
      </c>
      <c r="J93" s="128">
        <v>84054</v>
      </c>
      <c r="K93" s="128">
        <v>51712</v>
      </c>
      <c r="L93" s="5">
        <f t="shared" si="6"/>
        <v>2200806.6</v>
      </c>
      <c r="M93" s="2">
        <f>Form!$E$5</f>
        <v>0</v>
      </c>
      <c r="N93" s="5">
        <v>-71042.390000001178</v>
      </c>
      <c r="O93" s="14">
        <f t="shared" si="7"/>
        <v>-71042.390000001178</v>
      </c>
      <c r="P93" s="15" t="e">
        <f t="shared" si="8"/>
        <v>#DIV/0!</v>
      </c>
      <c r="Q93" s="16" t="e">
        <f t="shared" si="9"/>
        <v>#DIV/0!</v>
      </c>
      <c r="U93" s="14"/>
    </row>
    <row r="94" spans="1:21" x14ac:dyDescent="0.25">
      <c r="A94" s="7">
        <v>2510</v>
      </c>
      <c r="B94" s="126" t="s">
        <v>79</v>
      </c>
      <c r="C94" s="4">
        <f t="shared" si="11"/>
        <v>289162.41599999997</v>
      </c>
      <c r="D94" s="6">
        <v>1</v>
      </c>
      <c r="E94" s="82">
        <f t="shared" si="10"/>
        <v>0.12</v>
      </c>
      <c r="F94" s="128">
        <v>1979963.5499999998</v>
      </c>
      <c r="G94" s="128">
        <v>0</v>
      </c>
      <c r="H94" s="128">
        <v>161409.25</v>
      </c>
      <c r="I94" s="128">
        <v>184430</v>
      </c>
      <c r="J94" s="128">
        <v>74975</v>
      </c>
      <c r="K94" s="128">
        <v>8909</v>
      </c>
      <c r="L94" s="5">
        <f t="shared" si="6"/>
        <v>2409686.7999999998</v>
      </c>
      <c r="M94" s="2">
        <f>Form!$E$5</f>
        <v>0</v>
      </c>
      <c r="N94" s="5">
        <v>-45048.269999999553</v>
      </c>
      <c r="O94" s="14">
        <f t="shared" si="7"/>
        <v>-45048.269999999553</v>
      </c>
      <c r="P94" s="15" t="e">
        <f t="shared" si="8"/>
        <v>#DIV/0!</v>
      </c>
      <c r="Q94" s="16" t="e">
        <f t="shared" si="9"/>
        <v>#DIV/0!</v>
      </c>
      <c r="U94" s="14"/>
    </row>
    <row r="95" spans="1:21" x14ac:dyDescent="0.25">
      <c r="A95" s="7">
        <v>2514</v>
      </c>
      <c r="B95" s="126" t="s">
        <v>80</v>
      </c>
      <c r="C95" s="4">
        <f t="shared" si="11"/>
        <v>139205.79120000001</v>
      </c>
      <c r="D95" s="6">
        <v>1</v>
      </c>
      <c r="E95" s="82">
        <f t="shared" si="10"/>
        <v>0.12</v>
      </c>
      <c r="F95" s="128">
        <v>946371.46</v>
      </c>
      <c r="G95" s="128">
        <v>0</v>
      </c>
      <c r="H95" s="128">
        <v>56475.799999999996</v>
      </c>
      <c r="I95" s="128">
        <v>56470.000000000015</v>
      </c>
      <c r="J95" s="128">
        <v>80521</v>
      </c>
      <c r="K95" s="128">
        <v>20210</v>
      </c>
      <c r="L95" s="5">
        <f t="shared" si="6"/>
        <v>1160048.26</v>
      </c>
      <c r="M95" s="2">
        <f>Form!$E$5</f>
        <v>0</v>
      </c>
      <c r="N95" s="5">
        <v>-17111</v>
      </c>
      <c r="O95" s="14">
        <f t="shared" si="7"/>
        <v>-17111</v>
      </c>
      <c r="P95" s="15" t="e">
        <f t="shared" si="8"/>
        <v>#DIV/0!</v>
      </c>
      <c r="Q95" s="16" t="e">
        <f t="shared" si="9"/>
        <v>#DIV/0!</v>
      </c>
      <c r="U95" s="14"/>
    </row>
    <row r="96" spans="1:21" x14ac:dyDescent="0.25">
      <c r="A96" s="7">
        <v>2519</v>
      </c>
      <c r="B96" s="126" t="s">
        <v>81</v>
      </c>
      <c r="C96" s="4">
        <f t="shared" si="11"/>
        <v>96212.67359999998</v>
      </c>
      <c r="D96" s="6">
        <v>1</v>
      </c>
      <c r="E96" s="82">
        <f t="shared" si="10"/>
        <v>0.12</v>
      </c>
      <c r="F96" s="128">
        <v>703220.66999999993</v>
      </c>
      <c r="G96" s="128">
        <v>0</v>
      </c>
      <c r="H96" s="128">
        <v>14766.61</v>
      </c>
      <c r="I96" s="128">
        <v>32170</v>
      </c>
      <c r="J96" s="128">
        <v>29534</v>
      </c>
      <c r="K96" s="128">
        <v>22081</v>
      </c>
      <c r="L96" s="5">
        <f t="shared" si="6"/>
        <v>801772.27999999991</v>
      </c>
      <c r="M96" s="2">
        <f>Form!$E$5</f>
        <v>0</v>
      </c>
      <c r="N96" s="5">
        <v>-15635.689999999944</v>
      </c>
      <c r="O96" s="14">
        <f t="shared" si="7"/>
        <v>-15635.689999999944</v>
      </c>
      <c r="P96" s="15" t="e">
        <f t="shared" si="8"/>
        <v>#DIV/0!</v>
      </c>
      <c r="Q96" s="16" t="e">
        <f t="shared" si="9"/>
        <v>#DIV/0!</v>
      </c>
      <c r="U96" s="14"/>
    </row>
    <row r="97" spans="1:21" x14ac:dyDescent="0.25">
      <c r="A97" s="7">
        <v>2520</v>
      </c>
      <c r="B97" s="126" t="s">
        <v>82</v>
      </c>
      <c r="C97" s="4">
        <f t="shared" si="11"/>
        <v>415736.57160000014</v>
      </c>
      <c r="D97" s="6">
        <v>1</v>
      </c>
      <c r="E97" s="82">
        <f t="shared" si="10"/>
        <v>0.12</v>
      </c>
      <c r="F97" s="128">
        <v>3019476.7700000009</v>
      </c>
      <c r="G97" s="128">
        <v>0</v>
      </c>
      <c r="H97" s="128">
        <v>178781.65999999997</v>
      </c>
      <c r="I97" s="128">
        <v>118490.00000000003</v>
      </c>
      <c r="J97" s="128">
        <v>88843</v>
      </c>
      <c r="K97" s="128">
        <v>58880</v>
      </c>
      <c r="L97" s="5">
        <f t="shared" si="6"/>
        <v>3464471.4300000011</v>
      </c>
      <c r="M97" s="2">
        <f>Form!$E$5</f>
        <v>0</v>
      </c>
      <c r="N97" s="5">
        <v>-94746.440000000584</v>
      </c>
      <c r="O97" s="14">
        <f t="shared" si="7"/>
        <v>-94746.440000000584</v>
      </c>
      <c r="P97" s="15" t="e">
        <f t="shared" si="8"/>
        <v>#DIV/0!</v>
      </c>
      <c r="Q97" s="16" t="e">
        <f t="shared" si="9"/>
        <v>#DIV/0!</v>
      </c>
      <c r="U97" s="14"/>
    </row>
    <row r="98" spans="1:21" x14ac:dyDescent="0.25">
      <c r="A98" s="7">
        <v>2524</v>
      </c>
      <c r="B98" s="126" t="s">
        <v>83</v>
      </c>
      <c r="C98" s="4">
        <f t="shared" si="11"/>
        <v>152853.48240000004</v>
      </c>
      <c r="D98" s="6">
        <v>1</v>
      </c>
      <c r="E98" s="82">
        <f t="shared" si="10"/>
        <v>0.12</v>
      </c>
      <c r="F98" s="128">
        <v>1048075.7800000001</v>
      </c>
      <c r="G98" s="128">
        <v>0</v>
      </c>
      <c r="H98" s="128">
        <v>73225.240000000005</v>
      </c>
      <c r="I98" s="128">
        <v>84410.000000000015</v>
      </c>
      <c r="J98" s="128">
        <v>51850</v>
      </c>
      <c r="K98" s="128">
        <v>16218</v>
      </c>
      <c r="L98" s="5">
        <f t="shared" si="6"/>
        <v>1273779.0200000003</v>
      </c>
      <c r="M98" s="2">
        <f>Form!$E$5</f>
        <v>0</v>
      </c>
      <c r="N98" s="5">
        <v>-39659.650000000147</v>
      </c>
      <c r="O98" s="14">
        <f t="shared" si="7"/>
        <v>-39659.650000000147</v>
      </c>
      <c r="P98" s="15" t="e">
        <f t="shared" si="8"/>
        <v>#DIV/0!</v>
      </c>
      <c r="Q98" s="16" t="e">
        <f t="shared" si="9"/>
        <v>#DIV/0!</v>
      </c>
      <c r="U98" s="14"/>
    </row>
    <row r="99" spans="1:21" x14ac:dyDescent="0.25">
      <c r="A99" s="7">
        <v>2525</v>
      </c>
      <c r="B99" s="126" t="s">
        <v>84</v>
      </c>
      <c r="C99" s="4">
        <f t="shared" si="11"/>
        <v>276461.39399999997</v>
      </c>
      <c r="D99" s="6">
        <v>1</v>
      </c>
      <c r="E99" s="82">
        <f t="shared" si="10"/>
        <v>0.12</v>
      </c>
      <c r="F99" s="128">
        <v>1999371.9299999997</v>
      </c>
      <c r="G99" s="128">
        <v>0</v>
      </c>
      <c r="H99" s="128">
        <v>48540.020000000011</v>
      </c>
      <c r="I99" s="128">
        <v>146840</v>
      </c>
      <c r="J99" s="128">
        <v>67365</v>
      </c>
      <c r="K99" s="128">
        <v>41728</v>
      </c>
      <c r="L99" s="5">
        <f t="shared" si="6"/>
        <v>2303844.9499999997</v>
      </c>
      <c r="M99" s="2">
        <f>Form!$E$5</f>
        <v>0</v>
      </c>
      <c r="N99" s="5">
        <v>-13343.369999999588</v>
      </c>
      <c r="O99" s="14">
        <f t="shared" si="7"/>
        <v>-13343.369999999588</v>
      </c>
      <c r="P99" s="15" t="e">
        <f t="shared" si="8"/>
        <v>#DIV/0!</v>
      </c>
      <c r="Q99" s="16" t="e">
        <f t="shared" si="9"/>
        <v>#DIV/0!</v>
      </c>
      <c r="U99" s="14"/>
    </row>
    <row r="100" spans="1:21" x14ac:dyDescent="0.25">
      <c r="A100" s="7">
        <v>2530</v>
      </c>
      <c r="B100" s="126" t="s">
        <v>85</v>
      </c>
      <c r="C100" s="4">
        <f t="shared" si="11"/>
        <v>357324.75240000006</v>
      </c>
      <c r="D100" s="6">
        <v>1</v>
      </c>
      <c r="E100" s="82">
        <f t="shared" si="10"/>
        <v>0.12</v>
      </c>
      <c r="F100" s="128">
        <v>2713904.6400000006</v>
      </c>
      <c r="G100" s="128">
        <v>0</v>
      </c>
      <c r="H100" s="128">
        <v>48282.63</v>
      </c>
      <c r="I100" s="128">
        <v>70640</v>
      </c>
      <c r="J100" s="128">
        <v>98543</v>
      </c>
      <c r="K100" s="128">
        <v>46336</v>
      </c>
      <c r="L100" s="5">
        <f t="shared" si="6"/>
        <v>2977706.2700000005</v>
      </c>
      <c r="M100" s="2">
        <f>Form!$E$5</f>
        <v>0</v>
      </c>
      <c r="N100" s="5">
        <v>-219745.65999999846</v>
      </c>
      <c r="O100" s="14">
        <f t="shared" si="7"/>
        <v>-219745.65999999846</v>
      </c>
      <c r="P100" s="15" t="e">
        <f t="shared" si="8"/>
        <v>#DIV/0!</v>
      </c>
      <c r="Q100" s="16" t="e">
        <f t="shared" si="9"/>
        <v>#DIV/0!</v>
      </c>
      <c r="U100" s="14"/>
    </row>
    <row r="101" spans="1:21" x14ac:dyDescent="0.25">
      <c r="A101" s="7">
        <v>2532</v>
      </c>
      <c r="B101" s="126" t="s">
        <v>86</v>
      </c>
      <c r="C101" s="4">
        <f t="shared" si="11"/>
        <v>130624.96919999999</v>
      </c>
      <c r="D101" s="6">
        <v>1</v>
      </c>
      <c r="E101" s="82">
        <f t="shared" si="10"/>
        <v>0.12</v>
      </c>
      <c r="F101" s="128">
        <v>890896.46</v>
      </c>
      <c r="G101" s="128">
        <v>0</v>
      </c>
      <c r="H101" s="128">
        <v>106094.95</v>
      </c>
      <c r="I101" s="128">
        <v>25860</v>
      </c>
      <c r="J101" s="128">
        <v>46977</v>
      </c>
      <c r="K101" s="128">
        <v>18713</v>
      </c>
      <c r="L101" s="5">
        <f t="shared" si="6"/>
        <v>1088541.4099999999</v>
      </c>
      <c r="M101" s="2">
        <f>Form!$E$5</f>
        <v>0</v>
      </c>
      <c r="N101" s="5">
        <v>-124306.81000000004</v>
      </c>
      <c r="O101" s="14">
        <f t="shared" si="7"/>
        <v>-124306.81000000004</v>
      </c>
      <c r="P101" s="15" t="e">
        <f t="shared" si="8"/>
        <v>#DIV/0!</v>
      </c>
      <c r="Q101" s="16" t="e">
        <f t="shared" si="9"/>
        <v>#DIV/0!</v>
      </c>
      <c r="U101" s="14"/>
    </row>
    <row r="102" spans="1:21" x14ac:dyDescent="0.25">
      <c r="A102" s="7">
        <v>2539</v>
      </c>
      <c r="B102" s="126" t="s">
        <v>87</v>
      </c>
      <c r="C102" s="4">
        <f t="shared" si="11"/>
        <v>144702.47759999998</v>
      </c>
      <c r="D102" s="6">
        <v>1</v>
      </c>
      <c r="E102" s="82">
        <f t="shared" si="10"/>
        <v>0.12</v>
      </c>
      <c r="F102" s="128">
        <v>1035423.14</v>
      </c>
      <c r="G102" s="128">
        <v>0</v>
      </c>
      <c r="H102" s="128">
        <v>61531.839999999997</v>
      </c>
      <c r="I102" s="128">
        <v>31000</v>
      </c>
      <c r="J102" s="128">
        <v>54695</v>
      </c>
      <c r="K102" s="128">
        <v>23204</v>
      </c>
      <c r="L102" s="5">
        <f t="shared" si="6"/>
        <v>1205853.98</v>
      </c>
      <c r="M102" s="2">
        <f>Form!$E$5</f>
        <v>0</v>
      </c>
      <c r="N102" s="5">
        <v>-72982.390000000203</v>
      </c>
      <c r="O102" s="14">
        <f t="shared" si="7"/>
        <v>-72982.390000000203</v>
      </c>
      <c r="P102" s="15" t="e">
        <f t="shared" si="8"/>
        <v>#DIV/0!</v>
      </c>
      <c r="Q102" s="16" t="e">
        <f t="shared" si="9"/>
        <v>#DIV/0!</v>
      </c>
      <c r="U102" s="14"/>
    </row>
    <row r="103" spans="1:21" x14ac:dyDescent="0.25">
      <c r="A103" s="7">
        <v>2545</v>
      </c>
      <c r="B103" s="126" t="s">
        <v>88</v>
      </c>
      <c r="C103" s="4">
        <f t="shared" si="11"/>
        <v>283627.23600000003</v>
      </c>
      <c r="D103" s="6">
        <v>1</v>
      </c>
      <c r="E103" s="82">
        <f t="shared" si="10"/>
        <v>0.12</v>
      </c>
      <c r="F103" s="128">
        <v>2030314.7100000002</v>
      </c>
      <c r="G103" s="128">
        <v>0</v>
      </c>
      <c r="H103" s="128">
        <v>99406.59</v>
      </c>
      <c r="I103" s="128">
        <v>101620.00000000001</v>
      </c>
      <c r="J103" s="128">
        <v>85627</v>
      </c>
      <c r="K103" s="128">
        <v>46592</v>
      </c>
      <c r="L103" s="5">
        <f t="shared" si="6"/>
        <v>2363560.3000000003</v>
      </c>
      <c r="M103" s="2">
        <f>Form!$E$5</f>
        <v>0</v>
      </c>
      <c r="N103" s="5">
        <v>-259737.02000000107</v>
      </c>
      <c r="O103" s="14">
        <f t="shared" si="7"/>
        <v>-259737.02000000107</v>
      </c>
      <c r="P103" s="15" t="e">
        <f t="shared" si="8"/>
        <v>#DIV/0!</v>
      </c>
      <c r="Q103" s="16" t="e">
        <f t="shared" si="9"/>
        <v>#DIV/0!</v>
      </c>
      <c r="U103" s="14"/>
    </row>
    <row r="104" spans="1:21" x14ac:dyDescent="0.25">
      <c r="A104" s="7">
        <v>2552</v>
      </c>
      <c r="B104" s="126" t="s">
        <v>89</v>
      </c>
      <c r="C104" s="4">
        <f t="shared" si="11"/>
        <v>273988.65840000001</v>
      </c>
      <c r="D104" s="6">
        <v>1</v>
      </c>
      <c r="E104" s="82">
        <f t="shared" si="10"/>
        <v>0.12</v>
      </c>
      <c r="F104" s="128">
        <v>2015293.6900000004</v>
      </c>
      <c r="G104" s="128">
        <v>0</v>
      </c>
      <c r="H104" s="128">
        <v>124151.12999999998</v>
      </c>
      <c r="I104" s="128">
        <v>35080</v>
      </c>
      <c r="J104" s="128">
        <v>77994</v>
      </c>
      <c r="K104" s="128">
        <v>30720</v>
      </c>
      <c r="L104" s="5">
        <f t="shared" si="6"/>
        <v>2283238.8200000003</v>
      </c>
      <c r="M104" s="2">
        <f>Form!$E$5</f>
        <v>0</v>
      </c>
      <c r="N104" s="5">
        <v>-260356</v>
      </c>
      <c r="O104" s="14">
        <f t="shared" si="7"/>
        <v>-260356</v>
      </c>
      <c r="P104" s="15" t="e">
        <f t="shared" si="8"/>
        <v>#DIV/0!</v>
      </c>
      <c r="Q104" s="16" t="e">
        <f t="shared" si="9"/>
        <v>#DIV/0!</v>
      </c>
      <c r="U104" s="14"/>
    </row>
    <row r="105" spans="1:21" x14ac:dyDescent="0.25">
      <c r="A105" s="7">
        <v>2559</v>
      </c>
      <c r="B105" s="126" t="s">
        <v>90</v>
      </c>
      <c r="C105" s="4">
        <f t="shared" si="11"/>
        <v>134152.96799999999</v>
      </c>
      <c r="D105" s="6">
        <v>1</v>
      </c>
      <c r="E105" s="82">
        <f t="shared" si="10"/>
        <v>0.12</v>
      </c>
      <c r="F105" s="128">
        <v>938053.83999999985</v>
      </c>
      <c r="G105" s="128">
        <v>0</v>
      </c>
      <c r="H105" s="128">
        <v>61577.56</v>
      </c>
      <c r="I105" s="128">
        <v>58033</v>
      </c>
      <c r="J105" s="128">
        <v>40941</v>
      </c>
      <c r="K105" s="128">
        <v>19336</v>
      </c>
      <c r="L105" s="5">
        <f t="shared" si="6"/>
        <v>1117941.3999999999</v>
      </c>
      <c r="M105" s="2">
        <f>Form!$E$5</f>
        <v>0</v>
      </c>
      <c r="N105" s="5">
        <v>-40070.100000000224</v>
      </c>
      <c r="O105" s="14">
        <f t="shared" si="7"/>
        <v>-40070.100000000224</v>
      </c>
      <c r="P105" s="15" t="e">
        <f t="shared" si="8"/>
        <v>#DIV/0!</v>
      </c>
      <c r="Q105" s="16" t="e">
        <f t="shared" si="9"/>
        <v>#DIV/0!</v>
      </c>
      <c r="U105" s="14"/>
    </row>
    <row r="106" spans="1:21" x14ac:dyDescent="0.25">
      <c r="A106" s="7">
        <v>2562</v>
      </c>
      <c r="B106" s="126" t="s">
        <v>91</v>
      </c>
      <c r="C106" s="4">
        <f t="shared" si="11"/>
        <v>145316.66279999996</v>
      </c>
      <c r="D106" s="6">
        <v>1</v>
      </c>
      <c r="E106" s="82">
        <f t="shared" si="10"/>
        <v>0.12</v>
      </c>
      <c r="F106" s="128">
        <v>1071305.7999999998</v>
      </c>
      <c r="G106" s="128">
        <v>0</v>
      </c>
      <c r="H106" s="128">
        <v>10204.39</v>
      </c>
      <c r="I106" s="128">
        <v>66600</v>
      </c>
      <c r="J106" s="128">
        <v>47592</v>
      </c>
      <c r="K106" s="128">
        <v>15270</v>
      </c>
      <c r="L106" s="5">
        <f t="shared" ref="L106:L150" si="12">SUM(F106:K106)</f>
        <v>1210972.1899999997</v>
      </c>
      <c r="M106" s="2">
        <f>Form!$E$5</f>
        <v>0</v>
      </c>
      <c r="N106" s="5">
        <v>-34445.090000000149</v>
      </c>
      <c r="O106" s="14">
        <f t="shared" si="7"/>
        <v>-34445.090000000149</v>
      </c>
      <c r="P106" s="15" t="e">
        <f t="shared" si="8"/>
        <v>#DIV/0!</v>
      </c>
      <c r="Q106" s="16" t="e">
        <f t="shared" si="9"/>
        <v>#DIV/0!</v>
      </c>
      <c r="U106" s="14"/>
    </row>
    <row r="107" spans="1:21" x14ac:dyDescent="0.25">
      <c r="A107" s="7">
        <v>2574</v>
      </c>
      <c r="B107" s="126" t="s">
        <v>92</v>
      </c>
      <c r="C107" s="4">
        <f t="shared" si="11"/>
        <v>178537.26720000003</v>
      </c>
      <c r="D107" s="6">
        <v>1</v>
      </c>
      <c r="E107" s="82">
        <f t="shared" si="10"/>
        <v>0.12</v>
      </c>
      <c r="F107" s="128">
        <v>1213420.0100000002</v>
      </c>
      <c r="G107" s="128">
        <v>0</v>
      </c>
      <c r="H107" s="128">
        <v>98004.55</v>
      </c>
      <c r="I107" s="128">
        <v>48840</v>
      </c>
      <c r="J107" s="128">
        <v>99898</v>
      </c>
      <c r="K107" s="128">
        <v>27648</v>
      </c>
      <c r="L107" s="5">
        <f t="shared" si="12"/>
        <v>1487810.5600000003</v>
      </c>
      <c r="M107" s="2">
        <f>Form!$E$5</f>
        <v>0</v>
      </c>
      <c r="N107" s="5">
        <v>19435.69999999999</v>
      </c>
      <c r="O107" s="14">
        <f t="shared" si="7"/>
        <v>19435.69999999999</v>
      </c>
      <c r="P107" s="15" t="e">
        <f t="shared" si="8"/>
        <v>#DIV/0!</v>
      </c>
      <c r="Q107" s="16" t="e">
        <f t="shared" si="9"/>
        <v>#DIV/0!</v>
      </c>
      <c r="U107" s="14"/>
    </row>
    <row r="108" spans="1:21" x14ac:dyDescent="0.25">
      <c r="A108" s="7">
        <v>2578</v>
      </c>
      <c r="B108" s="126" t="s">
        <v>93</v>
      </c>
      <c r="C108" s="4">
        <f t="shared" si="11"/>
        <v>105917.39040000002</v>
      </c>
      <c r="D108" s="6">
        <v>1</v>
      </c>
      <c r="E108" s="82">
        <f t="shared" si="10"/>
        <v>0.12</v>
      </c>
      <c r="F108" s="128">
        <v>732456.88000000012</v>
      </c>
      <c r="G108" s="128">
        <v>0</v>
      </c>
      <c r="H108" s="128">
        <v>55885.040000000008</v>
      </c>
      <c r="I108" s="128">
        <v>46085</v>
      </c>
      <c r="J108" s="128">
        <v>32125</v>
      </c>
      <c r="K108" s="128">
        <v>16093</v>
      </c>
      <c r="L108" s="5">
        <f t="shared" si="12"/>
        <v>882644.92000000016</v>
      </c>
      <c r="M108" s="2">
        <f>Form!$E$5</f>
        <v>0</v>
      </c>
      <c r="N108" s="5">
        <v>-88934.270000000048</v>
      </c>
      <c r="O108" s="14">
        <f t="shared" si="7"/>
        <v>-88934.270000000048</v>
      </c>
      <c r="P108" s="15" t="e">
        <f t="shared" si="8"/>
        <v>#DIV/0!</v>
      </c>
      <c r="Q108" s="16" t="e">
        <f t="shared" si="9"/>
        <v>#DIV/0!</v>
      </c>
      <c r="U108" s="14"/>
    </row>
    <row r="109" spans="1:21" x14ac:dyDescent="0.25">
      <c r="A109" s="7">
        <v>2586</v>
      </c>
      <c r="B109" s="126" t="s">
        <v>94</v>
      </c>
      <c r="C109" s="4">
        <f t="shared" si="11"/>
        <v>171333.87719999996</v>
      </c>
      <c r="D109" s="6">
        <v>1</v>
      </c>
      <c r="E109" s="82">
        <f t="shared" si="10"/>
        <v>0.12</v>
      </c>
      <c r="F109" s="128">
        <v>1151918.0699999998</v>
      </c>
      <c r="G109" s="128">
        <v>0</v>
      </c>
      <c r="H109" s="128">
        <v>100720.24</v>
      </c>
      <c r="I109" s="128">
        <v>110900.00000000003</v>
      </c>
      <c r="J109" s="128">
        <v>42912</v>
      </c>
      <c r="K109" s="128">
        <v>21332</v>
      </c>
      <c r="L109" s="5">
        <f t="shared" si="12"/>
        <v>1427782.3099999998</v>
      </c>
      <c r="M109" s="2">
        <f>Form!$E$5</f>
        <v>0</v>
      </c>
      <c r="N109" s="5">
        <v>-87292.989999998943</v>
      </c>
      <c r="O109" s="14">
        <f t="shared" si="7"/>
        <v>-87292.989999998943</v>
      </c>
      <c r="P109" s="15" t="e">
        <f t="shared" si="8"/>
        <v>#DIV/0!</v>
      </c>
      <c r="Q109" s="16" t="e">
        <f t="shared" si="9"/>
        <v>#DIV/0!</v>
      </c>
      <c r="U109" s="14"/>
    </row>
    <row r="110" spans="1:21" x14ac:dyDescent="0.25">
      <c r="A110" s="7">
        <v>2603</v>
      </c>
      <c r="B110" s="126" t="s">
        <v>95</v>
      </c>
      <c r="C110" s="4">
        <f t="shared" si="11"/>
        <v>394977.22319999995</v>
      </c>
      <c r="D110" s="6">
        <v>1</v>
      </c>
      <c r="E110" s="82">
        <f t="shared" si="10"/>
        <v>0.12</v>
      </c>
      <c r="F110" s="128">
        <v>2492851.36</v>
      </c>
      <c r="G110" s="128">
        <v>0</v>
      </c>
      <c r="H110" s="128">
        <v>427577.5</v>
      </c>
      <c r="I110" s="128">
        <v>259700.00000000006</v>
      </c>
      <c r="J110" s="128">
        <v>66292</v>
      </c>
      <c r="K110" s="128">
        <v>45056</v>
      </c>
      <c r="L110" s="5">
        <f t="shared" si="12"/>
        <v>3291476.86</v>
      </c>
      <c r="M110" s="2">
        <f>Form!$E$5</f>
        <v>0</v>
      </c>
      <c r="N110" s="5">
        <v>-225851.03000000032</v>
      </c>
      <c r="O110" s="14">
        <f t="shared" si="7"/>
        <v>-225851.03000000032</v>
      </c>
      <c r="P110" s="15" t="e">
        <f t="shared" si="8"/>
        <v>#DIV/0!</v>
      </c>
      <c r="Q110" s="16" t="e">
        <f t="shared" si="9"/>
        <v>#DIV/0!</v>
      </c>
      <c r="U110" s="14"/>
    </row>
    <row r="111" spans="1:21" x14ac:dyDescent="0.25">
      <c r="A111" s="7">
        <v>2607</v>
      </c>
      <c r="B111" s="126" t="s">
        <v>96</v>
      </c>
      <c r="C111" s="4">
        <f t="shared" si="11"/>
        <v>172309.53959999999</v>
      </c>
      <c r="D111" s="6">
        <v>1</v>
      </c>
      <c r="E111" s="82">
        <f t="shared" si="10"/>
        <v>0.12</v>
      </c>
      <c r="F111" s="128">
        <v>1137999.2099999997</v>
      </c>
      <c r="G111" s="128">
        <v>0</v>
      </c>
      <c r="H111" s="128">
        <v>92609.62000000001</v>
      </c>
      <c r="I111" s="128">
        <v>150480</v>
      </c>
      <c r="J111" s="128">
        <v>33866</v>
      </c>
      <c r="K111" s="128">
        <v>20958</v>
      </c>
      <c r="L111" s="5">
        <f t="shared" si="12"/>
        <v>1435912.8299999998</v>
      </c>
      <c r="M111" s="2">
        <f>Form!$E$5</f>
        <v>0</v>
      </c>
      <c r="N111" s="5">
        <v>-194889.95999999967</v>
      </c>
      <c r="O111" s="14">
        <f t="shared" ref="O111:O160" si="13">N111-M111</f>
        <v>-194889.95999999967</v>
      </c>
      <c r="P111" s="15" t="e">
        <f t="shared" ref="P111:P160" si="14">O111/M111</f>
        <v>#DIV/0!</v>
      </c>
      <c r="Q111" s="16" t="e">
        <f t="shared" ref="Q111:Q160" si="15">IF(AND(O111&lt;$Q$2,O111&gt;-$Q$2),"Within Tolerance",IF(AND(P111&lt;$R$2,P111&gt;-$R$2),"Within Tolerance",O111))</f>
        <v>#DIV/0!</v>
      </c>
      <c r="U111" s="14"/>
    </row>
    <row r="112" spans="1:21" x14ac:dyDescent="0.25">
      <c r="A112" s="7">
        <v>2615</v>
      </c>
      <c r="B112" s="126" t="s">
        <v>97</v>
      </c>
      <c r="C112" s="4">
        <f t="shared" si="11"/>
        <v>155565.8052</v>
      </c>
      <c r="D112" s="6">
        <v>1</v>
      </c>
      <c r="E112" s="82">
        <f t="shared" si="10"/>
        <v>0.12</v>
      </c>
      <c r="F112" s="128">
        <v>1137382.57</v>
      </c>
      <c r="G112" s="128">
        <v>0</v>
      </c>
      <c r="H112" s="128">
        <v>36870.14</v>
      </c>
      <c r="I112" s="128">
        <v>54690.000000000015</v>
      </c>
      <c r="J112" s="128">
        <v>42489</v>
      </c>
      <c r="K112" s="128">
        <v>24950</v>
      </c>
      <c r="L112" s="5">
        <f t="shared" si="12"/>
        <v>1296381.71</v>
      </c>
      <c r="M112" s="2">
        <f>Form!$E$5</f>
        <v>0</v>
      </c>
      <c r="N112" s="5">
        <v>-76601.07999999958</v>
      </c>
      <c r="O112" s="14">
        <f t="shared" si="13"/>
        <v>-76601.07999999958</v>
      </c>
      <c r="P112" s="15" t="e">
        <f t="shared" si="14"/>
        <v>#DIV/0!</v>
      </c>
      <c r="Q112" s="16" t="e">
        <f t="shared" si="15"/>
        <v>#DIV/0!</v>
      </c>
      <c r="U112" s="14"/>
    </row>
    <row r="113" spans="1:21" x14ac:dyDescent="0.25">
      <c r="A113" s="7">
        <v>2627</v>
      </c>
      <c r="B113" s="126" t="s">
        <v>98</v>
      </c>
      <c r="C113" s="4">
        <f t="shared" si="11"/>
        <v>159360.35279999996</v>
      </c>
      <c r="D113" s="6">
        <v>1</v>
      </c>
      <c r="E113" s="82">
        <f t="shared" si="10"/>
        <v>0.12</v>
      </c>
      <c r="F113" s="128">
        <v>1099362.3499999996</v>
      </c>
      <c r="G113" s="128">
        <v>0</v>
      </c>
      <c r="H113" s="128">
        <v>101573.59</v>
      </c>
      <c r="I113" s="128">
        <v>80760</v>
      </c>
      <c r="J113" s="128">
        <v>18147</v>
      </c>
      <c r="K113" s="128">
        <v>28160</v>
      </c>
      <c r="L113" s="5">
        <f t="shared" si="12"/>
        <v>1328002.9399999997</v>
      </c>
      <c r="M113" s="2">
        <f>Form!$E$5</f>
        <v>0</v>
      </c>
      <c r="N113" s="5">
        <v>-142354.7499999998</v>
      </c>
      <c r="O113" s="14">
        <f t="shared" si="13"/>
        <v>-142354.7499999998</v>
      </c>
      <c r="P113" s="15" t="e">
        <f t="shared" si="14"/>
        <v>#DIV/0!</v>
      </c>
      <c r="Q113" s="16" t="e">
        <f t="shared" si="15"/>
        <v>#DIV/0!</v>
      </c>
      <c r="U113" s="14"/>
    </row>
    <row r="114" spans="1:21" x14ac:dyDescent="0.25">
      <c r="A114" s="7">
        <v>2632</v>
      </c>
      <c r="B114" s="126" t="s">
        <v>99</v>
      </c>
      <c r="C114" s="4">
        <f t="shared" si="11"/>
        <v>406935.02280000004</v>
      </c>
      <c r="D114" s="6">
        <v>1</v>
      </c>
      <c r="E114" s="82">
        <f t="shared" si="10"/>
        <v>0.12</v>
      </c>
      <c r="F114" s="128">
        <v>2905051.5100000002</v>
      </c>
      <c r="G114" s="128">
        <v>0</v>
      </c>
      <c r="H114" s="128">
        <v>159619.68</v>
      </c>
      <c r="I114" s="128">
        <v>142780</v>
      </c>
      <c r="J114" s="128">
        <v>108410</v>
      </c>
      <c r="K114" s="128">
        <v>75264</v>
      </c>
      <c r="L114" s="5">
        <f t="shared" si="12"/>
        <v>3391125.1900000004</v>
      </c>
      <c r="M114" s="2">
        <f>Form!$E$5</f>
        <v>0</v>
      </c>
      <c r="N114" s="5">
        <v>-205653.47999999902</v>
      </c>
      <c r="O114" s="14">
        <f t="shared" si="13"/>
        <v>-205653.47999999902</v>
      </c>
      <c r="P114" s="15" t="e">
        <f t="shared" si="14"/>
        <v>#DIV/0!</v>
      </c>
      <c r="Q114" s="16" t="e">
        <f t="shared" si="15"/>
        <v>#DIV/0!</v>
      </c>
      <c r="U114" s="14"/>
    </row>
    <row r="115" spans="1:21" x14ac:dyDescent="0.25">
      <c r="A115" s="7">
        <v>2643</v>
      </c>
      <c r="B115" s="126" t="s">
        <v>100</v>
      </c>
      <c r="C115" s="4">
        <f t="shared" si="11"/>
        <v>366907.07519999996</v>
      </c>
      <c r="D115" s="6">
        <v>1</v>
      </c>
      <c r="E115" s="82">
        <f t="shared" si="10"/>
        <v>0.12</v>
      </c>
      <c r="F115" s="128">
        <v>2637241.46</v>
      </c>
      <c r="G115" s="128">
        <v>0</v>
      </c>
      <c r="H115" s="128">
        <v>131565.5</v>
      </c>
      <c r="I115" s="128">
        <v>148290</v>
      </c>
      <c r="J115" s="128">
        <v>80558</v>
      </c>
      <c r="K115" s="128">
        <v>59904</v>
      </c>
      <c r="L115" s="5">
        <f t="shared" si="12"/>
        <v>3057558.96</v>
      </c>
      <c r="M115" s="2">
        <f>Form!$E$5</f>
        <v>0</v>
      </c>
      <c r="N115" s="5">
        <v>-90012.049999998228</v>
      </c>
      <c r="O115" s="14">
        <f t="shared" si="13"/>
        <v>-90012.049999998228</v>
      </c>
      <c r="P115" s="15" t="e">
        <f t="shared" si="14"/>
        <v>#DIV/0!</v>
      </c>
      <c r="Q115" s="16" t="e">
        <f t="shared" si="15"/>
        <v>#DIV/0!</v>
      </c>
      <c r="U115" s="14"/>
    </row>
    <row r="116" spans="1:21" x14ac:dyDescent="0.25">
      <c r="A116" s="7">
        <v>2648</v>
      </c>
      <c r="B116" s="126" t="s">
        <v>101</v>
      </c>
      <c r="C116" s="4">
        <f t="shared" si="11"/>
        <v>249497.022</v>
      </c>
      <c r="D116" s="6">
        <v>1</v>
      </c>
      <c r="E116" s="82">
        <f t="shared" si="10"/>
        <v>0.12</v>
      </c>
      <c r="F116" s="128">
        <v>1650122.3</v>
      </c>
      <c r="G116" s="128">
        <v>0</v>
      </c>
      <c r="H116" s="128">
        <v>164532.91999999998</v>
      </c>
      <c r="I116" s="128">
        <v>176366.63</v>
      </c>
      <c r="J116" s="128">
        <v>60984</v>
      </c>
      <c r="K116" s="128">
        <v>27136</v>
      </c>
      <c r="L116" s="5">
        <f t="shared" si="12"/>
        <v>2079141.85</v>
      </c>
      <c r="M116" s="2">
        <f>Form!$E$5</f>
        <v>0</v>
      </c>
      <c r="N116" s="5">
        <v>-316645.31999999983</v>
      </c>
      <c r="O116" s="14">
        <f t="shared" si="13"/>
        <v>-316645.31999999983</v>
      </c>
      <c r="P116" s="15" t="e">
        <f t="shared" si="14"/>
        <v>#DIV/0!</v>
      </c>
      <c r="Q116" s="16" t="e">
        <f t="shared" si="15"/>
        <v>#DIV/0!</v>
      </c>
      <c r="U116" s="14"/>
    </row>
    <row r="117" spans="1:21" x14ac:dyDescent="0.25">
      <c r="A117" s="7">
        <v>2651</v>
      </c>
      <c r="B117" s="126" t="s">
        <v>161</v>
      </c>
      <c r="C117" s="4">
        <f t="shared" si="11"/>
        <v>132994.05119999996</v>
      </c>
      <c r="D117" s="6">
        <v>1</v>
      </c>
      <c r="E117" s="82">
        <f t="shared" si="10"/>
        <v>0.12</v>
      </c>
      <c r="F117" s="128">
        <v>865931.54999999981</v>
      </c>
      <c r="G117" s="128">
        <v>0</v>
      </c>
      <c r="H117" s="128">
        <v>120162.20999999999</v>
      </c>
      <c r="I117" s="128">
        <v>74765</v>
      </c>
      <c r="J117" s="128">
        <v>28588</v>
      </c>
      <c r="K117" s="128">
        <v>18837</v>
      </c>
      <c r="L117" s="5">
        <f t="shared" si="12"/>
        <v>1108283.7599999998</v>
      </c>
      <c r="M117" s="2">
        <f>Form!$E$5</f>
        <v>0</v>
      </c>
      <c r="N117" s="5">
        <v>-73760.599999999627</v>
      </c>
      <c r="O117" s="14">
        <f t="shared" si="13"/>
        <v>-73760.599999999627</v>
      </c>
      <c r="P117" s="15" t="e">
        <f t="shared" si="14"/>
        <v>#DIV/0!</v>
      </c>
      <c r="Q117" s="16" t="e">
        <f t="shared" si="15"/>
        <v>#DIV/0!</v>
      </c>
      <c r="U117" s="14"/>
    </row>
    <row r="118" spans="1:21" x14ac:dyDescent="0.25">
      <c r="A118" s="7">
        <v>2653</v>
      </c>
      <c r="B118" s="126" t="s">
        <v>102</v>
      </c>
      <c r="C118" s="4">
        <f t="shared" si="11"/>
        <v>338461.65840000001</v>
      </c>
      <c r="D118" s="6">
        <v>1</v>
      </c>
      <c r="E118" s="82">
        <f t="shared" si="10"/>
        <v>0.12</v>
      </c>
      <c r="F118" s="128">
        <v>2383839.4000000004</v>
      </c>
      <c r="G118" s="128">
        <v>0</v>
      </c>
      <c r="H118" s="128">
        <v>143276.42000000001</v>
      </c>
      <c r="I118" s="128">
        <v>158260</v>
      </c>
      <c r="J118" s="128">
        <v>76770</v>
      </c>
      <c r="K118" s="128">
        <v>58368</v>
      </c>
      <c r="L118" s="5">
        <f t="shared" si="12"/>
        <v>2820513.8200000003</v>
      </c>
      <c r="M118" s="2">
        <f>Form!$E$5</f>
        <v>0</v>
      </c>
      <c r="N118" s="5">
        <v>-322392.53000000073</v>
      </c>
      <c r="O118" s="14">
        <f t="shared" si="13"/>
        <v>-322392.53000000073</v>
      </c>
      <c r="P118" s="15" t="e">
        <f t="shared" si="14"/>
        <v>#DIV/0!</v>
      </c>
      <c r="Q118" s="16" t="e">
        <f t="shared" si="15"/>
        <v>#DIV/0!</v>
      </c>
      <c r="U118" s="14"/>
    </row>
    <row r="119" spans="1:21" x14ac:dyDescent="0.25">
      <c r="A119" s="7">
        <v>2662</v>
      </c>
      <c r="B119" s="126" t="s">
        <v>103</v>
      </c>
      <c r="C119" s="4">
        <f t="shared" si="11"/>
        <v>114109.95359999999</v>
      </c>
      <c r="D119" s="6">
        <v>1</v>
      </c>
      <c r="E119" s="82">
        <f t="shared" si="10"/>
        <v>0.12</v>
      </c>
      <c r="F119" s="128">
        <v>748029.67</v>
      </c>
      <c r="G119" s="128">
        <v>0</v>
      </c>
      <c r="H119" s="128">
        <v>71637.11</v>
      </c>
      <c r="I119" s="128">
        <v>85452.5</v>
      </c>
      <c r="J119" s="128">
        <v>27334</v>
      </c>
      <c r="K119" s="128">
        <v>18463</v>
      </c>
      <c r="L119" s="5">
        <f t="shared" si="12"/>
        <v>950916.28</v>
      </c>
      <c r="M119" s="2">
        <f>Form!$E$5</f>
        <v>0</v>
      </c>
      <c r="N119" s="5">
        <v>-191654.46999999983</v>
      </c>
      <c r="O119" s="14">
        <f t="shared" si="13"/>
        <v>-191654.46999999983</v>
      </c>
      <c r="P119" s="15" t="e">
        <f t="shared" si="14"/>
        <v>#DIV/0!</v>
      </c>
      <c r="Q119" s="16" t="e">
        <f t="shared" si="15"/>
        <v>#DIV/0!</v>
      </c>
      <c r="U119" s="14"/>
    </row>
    <row r="120" spans="1:21" x14ac:dyDescent="0.25">
      <c r="A120" s="7">
        <v>2674</v>
      </c>
      <c r="B120" s="126" t="s">
        <v>104</v>
      </c>
      <c r="C120" s="4">
        <f t="shared" si="11"/>
        <v>408906.82199999999</v>
      </c>
      <c r="D120" s="6">
        <v>1</v>
      </c>
      <c r="E120" s="82">
        <f t="shared" ref="E120:E179" si="16">IF(D120=1,0.12,IF(D120=4,0.085,0.075))</f>
        <v>0.12</v>
      </c>
      <c r="F120" s="128">
        <v>2716504.0300000003</v>
      </c>
      <c r="G120" s="128">
        <v>0</v>
      </c>
      <c r="H120" s="128">
        <v>249165.81999999998</v>
      </c>
      <c r="I120" s="128">
        <v>346580</v>
      </c>
      <c r="J120" s="128">
        <v>52043</v>
      </c>
      <c r="K120" s="128">
        <v>43264</v>
      </c>
      <c r="L120" s="5">
        <f t="shared" si="12"/>
        <v>3407556.85</v>
      </c>
      <c r="M120" s="2">
        <f>Form!$E$5</f>
        <v>0</v>
      </c>
      <c r="N120" s="5">
        <v>-411413.38000000064</v>
      </c>
      <c r="O120" s="14">
        <f t="shared" si="13"/>
        <v>-411413.38000000064</v>
      </c>
      <c r="P120" s="15" t="e">
        <f t="shared" si="14"/>
        <v>#DIV/0!</v>
      </c>
      <c r="Q120" s="16" t="e">
        <f t="shared" si="15"/>
        <v>#DIV/0!</v>
      </c>
      <c r="U120" s="14"/>
    </row>
    <row r="121" spans="1:21" x14ac:dyDescent="0.25">
      <c r="A121" s="7">
        <v>2680</v>
      </c>
      <c r="B121" s="126" t="s">
        <v>105</v>
      </c>
      <c r="C121" s="4">
        <f t="shared" ref="C121:C180" si="17">IF(D121=1,L121*0.12,IF(D121=3,L121*0.085,L121*0.075))</f>
        <v>288815.61119999998</v>
      </c>
      <c r="D121" s="6">
        <v>1</v>
      </c>
      <c r="E121" s="82">
        <f t="shared" si="16"/>
        <v>0.12</v>
      </c>
      <c r="F121" s="128">
        <v>2008929.67</v>
      </c>
      <c r="G121" s="128">
        <v>0</v>
      </c>
      <c r="H121" s="128">
        <v>183028.09000000003</v>
      </c>
      <c r="I121" s="128">
        <v>78230.000000000015</v>
      </c>
      <c r="J121" s="128">
        <v>84385</v>
      </c>
      <c r="K121" s="128">
        <v>52224</v>
      </c>
      <c r="L121" s="5">
        <f t="shared" si="12"/>
        <v>2406796.7599999998</v>
      </c>
      <c r="M121" s="2">
        <f>Form!$E$5</f>
        <v>0</v>
      </c>
      <c r="N121" s="5">
        <v>-25801.500000001135</v>
      </c>
      <c r="O121" s="14">
        <f t="shared" si="13"/>
        <v>-25801.500000001135</v>
      </c>
      <c r="P121" s="15" t="e">
        <f t="shared" si="14"/>
        <v>#DIV/0!</v>
      </c>
      <c r="Q121" s="16" t="e">
        <f t="shared" si="15"/>
        <v>#DIV/0!</v>
      </c>
      <c r="U121" s="14"/>
    </row>
    <row r="122" spans="1:21" x14ac:dyDescent="0.25">
      <c r="A122" s="7">
        <v>2682</v>
      </c>
      <c r="B122" s="126" t="s">
        <v>106</v>
      </c>
      <c r="C122" s="4">
        <f t="shared" si="17"/>
        <v>267664.37520000007</v>
      </c>
      <c r="D122" s="6">
        <v>1</v>
      </c>
      <c r="E122" s="82">
        <f t="shared" si="16"/>
        <v>0.12</v>
      </c>
      <c r="F122" s="128">
        <v>1906603.1700000002</v>
      </c>
      <c r="G122" s="128">
        <v>0</v>
      </c>
      <c r="H122" s="128">
        <v>134274.29</v>
      </c>
      <c r="I122" s="128">
        <v>91990.000000000015</v>
      </c>
      <c r="J122" s="128">
        <v>63877</v>
      </c>
      <c r="K122" s="128">
        <v>33792</v>
      </c>
      <c r="L122" s="5">
        <f t="shared" si="12"/>
        <v>2230536.4600000004</v>
      </c>
      <c r="M122" s="2">
        <f>Form!$E$5</f>
        <v>0</v>
      </c>
      <c r="N122" s="5">
        <v>-37234.450000000099</v>
      </c>
      <c r="O122" s="14">
        <f t="shared" si="13"/>
        <v>-37234.450000000099</v>
      </c>
      <c r="P122" s="15" t="e">
        <f t="shared" si="14"/>
        <v>#DIV/0!</v>
      </c>
      <c r="Q122" s="16" t="e">
        <f t="shared" si="15"/>
        <v>#DIV/0!</v>
      </c>
      <c r="U122" s="14"/>
    </row>
    <row r="123" spans="1:21" x14ac:dyDescent="0.25">
      <c r="A123" s="7">
        <v>2689</v>
      </c>
      <c r="B123" s="126" t="s">
        <v>162</v>
      </c>
      <c r="C123" s="4">
        <f t="shared" si="17"/>
        <v>319680.38519999996</v>
      </c>
      <c r="D123" s="6">
        <v>1</v>
      </c>
      <c r="E123" s="82">
        <f t="shared" si="16"/>
        <v>0.12</v>
      </c>
      <c r="F123" s="128">
        <v>2267694.0099999998</v>
      </c>
      <c r="G123" s="128">
        <v>0</v>
      </c>
      <c r="H123" s="128">
        <v>104443.20000000001</v>
      </c>
      <c r="I123" s="128">
        <v>158340</v>
      </c>
      <c r="J123" s="128">
        <v>71574</v>
      </c>
      <c r="K123" s="128">
        <v>61952</v>
      </c>
      <c r="L123" s="5">
        <f t="shared" si="12"/>
        <v>2664003.21</v>
      </c>
      <c r="M123" s="2">
        <f>Form!$E$5</f>
        <v>0</v>
      </c>
      <c r="N123" s="5">
        <v>-91664.130000000558</v>
      </c>
      <c r="O123" s="14">
        <f t="shared" si="13"/>
        <v>-91664.130000000558</v>
      </c>
      <c r="P123" s="15" t="e">
        <f t="shared" si="14"/>
        <v>#DIV/0!</v>
      </c>
      <c r="Q123" s="16" t="e">
        <f t="shared" si="15"/>
        <v>#DIV/0!</v>
      </c>
      <c r="U123" s="14"/>
    </row>
    <row r="124" spans="1:21" x14ac:dyDescent="0.25">
      <c r="A124" s="7">
        <v>3010</v>
      </c>
      <c r="B124" s="126" t="s">
        <v>163</v>
      </c>
      <c r="C124" s="4">
        <f t="shared" si="17"/>
        <v>100868.8992</v>
      </c>
      <c r="D124" s="6">
        <v>1</v>
      </c>
      <c r="E124" s="82">
        <f t="shared" si="16"/>
        <v>0.12</v>
      </c>
      <c r="F124" s="128">
        <v>705997.05</v>
      </c>
      <c r="G124" s="128">
        <v>0</v>
      </c>
      <c r="H124" s="128">
        <v>64260.109999999993</v>
      </c>
      <c r="I124" s="128">
        <v>24390</v>
      </c>
      <c r="J124" s="128">
        <v>35198</v>
      </c>
      <c r="K124" s="128">
        <v>10729</v>
      </c>
      <c r="L124" s="5">
        <f t="shared" si="12"/>
        <v>840574.16</v>
      </c>
      <c r="M124" s="2">
        <f>Form!$E$5</f>
        <v>0</v>
      </c>
      <c r="N124" s="5">
        <v>-67998.559999999619</v>
      </c>
      <c r="O124" s="14">
        <f t="shared" si="13"/>
        <v>-67998.559999999619</v>
      </c>
      <c r="P124" s="15" t="e">
        <f t="shared" si="14"/>
        <v>#DIV/0!</v>
      </c>
      <c r="Q124" s="16" t="e">
        <f t="shared" si="15"/>
        <v>#DIV/0!</v>
      </c>
      <c r="U124" s="14"/>
    </row>
    <row r="125" spans="1:21" x14ac:dyDescent="0.25">
      <c r="A125" s="7">
        <v>3015</v>
      </c>
      <c r="B125" s="126" t="s">
        <v>164</v>
      </c>
      <c r="C125" s="4">
        <f t="shared" si="17"/>
        <v>76323.896399999998</v>
      </c>
      <c r="D125" s="6">
        <v>1</v>
      </c>
      <c r="E125" s="82">
        <f t="shared" si="16"/>
        <v>0.12</v>
      </c>
      <c r="F125" s="128">
        <v>562814.73</v>
      </c>
      <c r="G125" s="128">
        <v>0</v>
      </c>
      <c r="H125" s="128">
        <v>10862.74</v>
      </c>
      <c r="I125" s="128">
        <v>8099.9999999999991</v>
      </c>
      <c r="J125" s="128">
        <v>33172</v>
      </c>
      <c r="K125" s="128">
        <v>21083</v>
      </c>
      <c r="L125" s="5">
        <f t="shared" si="12"/>
        <v>636032.47</v>
      </c>
      <c r="M125" s="2">
        <f>Form!$E$5</f>
        <v>0</v>
      </c>
      <c r="N125" s="5">
        <v>-18161.209999999934</v>
      </c>
      <c r="O125" s="14">
        <f t="shared" si="13"/>
        <v>-18161.209999999934</v>
      </c>
      <c r="P125" s="15" t="e">
        <f t="shared" si="14"/>
        <v>#DIV/0!</v>
      </c>
      <c r="Q125" s="16" t="e">
        <f t="shared" si="15"/>
        <v>#DIV/0!</v>
      </c>
      <c r="U125" s="14"/>
    </row>
    <row r="126" spans="1:21" x14ac:dyDescent="0.25">
      <c r="A126" s="7">
        <v>3022</v>
      </c>
      <c r="B126" s="126" t="s">
        <v>165</v>
      </c>
      <c r="C126" s="4">
        <f t="shared" si="17"/>
        <v>144091.3572</v>
      </c>
      <c r="D126" s="6">
        <v>1</v>
      </c>
      <c r="E126" s="82">
        <f t="shared" si="16"/>
        <v>0.12</v>
      </c>
      <c r="F126" s="128">
        <v>1018439.84</v>
      </c>
      <c r="G126" s="128">
        <v>0</v>
      </c>
      <c r="H126" s="128">
        <v>51915.469999999987</v>
      </c>
      <c r="I126" s="128">
        <v>40660</v>
      </c>
      <c r="J126" s="128">
        <v>55315</v>
      </c>
      <c r="K126" s="128">
        <v>34431</v>
      </c>
      <c r="L126" s="5">
        <f t="shared" si="12"/>
        <v>1200761.31</v>
      </c>
      <c r="M126" s="2">
        <f>Form!$E$5</f>
        <v>0</v>
      </c>
      <c r="N126" s="5">
        <v>-114502.52000000011</v>
      </c>
      <c r="O126" s="14">
        <f t="shared" si="13"/>
        <v>-114502.52000000011</v>
      </c>
      <c r="P126" s="15" t="e">
        <f t="shared" si="14"/>
        <v>#DIV/0!</v>
      </c>
      <c r="Q126" s="16" t="e">
        <f t="shared" si="15"/>
        <v>#DIV/0!</v>
      </c>
      <c r="U126" s="14"/>
    </row>
    <row r="127" spans="1:21" x14ac:dyDescent="0.25">
      <c r="A127" s="7">
        <v>3023</v>
      </c>
      <c r="B127" s="126" t="s">
        <v>166</v>
      </c>
      <c r="C127" s="4">
        <f t="shared" si="17"/>
        <v>136919.2452</v>
      </c>
      <c r="D127" s="6">
        <v>1</v>
      </c>
      <c r="E127" s="82">
        <f t="shared" si="16"/>
        <v>0.12</v>
      </c>
      <c r="F127" s="128">
        <v>993647.61</v>
      </c>
      <c r="G127" s="128">
        <v>0</v>
      </c>
      <c r="H127" s="128">
        <v>54118.1</v>
      </c>
      <c r="I127" s="128">
        <v>23240</v>
      </c>
      <c r="J127" s="128">
        <v>55018</v>
      </c>
      <c r="K127" s="128">
        <v>14970</v>
      </c>
      <c r="L127" s="5">
        <f t="shared" si="12"/>
        <v>1140993.71</v>
      </c>
      <c r="M127" s="2">
        <f>Form!$E$5</f>
        <v>0</v>
      </c>
      <c r="N127" s="5">
        <v>-45769.699999999764</v>
      </c>
      <c r="O127" s="14">
        <f t="shared" si="13"/>
        <v>-45769.699999999764</v>
      </c>
      <c r="P127" s="15" t="e">
        <f t="shared" si="14"/>
        <v>#DIV/0!</v>
      </c>
      <c r="Q127" s="16" t="e">
        <f t="shared" si="15"/>
        <v>#DIV/0!</v>
      </c>
      <c r="U127" s="14"/>
    </row>
    <row r="128" spans="1:21" x14ac:dyDescent="0.25">
      <c r="A128" s="7">
        <v>3027</v>
      </c>
      <c r="B128" s="126" t="s">
        <v>167</v>
      </c>
      <c r="C128" s="4">
        <f t="shared" si="17"/>
        <v>171920.08679999996</v>
      </c>
      <c r="D128" s="6">
        <v>1</v>
      </c>
      <c r="E128" s="82">
        <f t="shared" si="16"/>
        <v>0.12</v>
      </c>
      <c r="F128" s="128">
        <v>1113449.5099999998</v>
      </c>
      <c r="G128" s="128">
        <v>0</v>
      </c>
      <c r="H128" s="128">
        <v>135683.87999999998</v>
      </c>
      <c r="I128" s="128">
        <v>112330.00000000001</v>
      </c>
      <c r="J128" s="128">
        <v>45092</v>
      </c>
      <c r="K128" s="128">
        <v>26112</v>
      </c>
      <c r="L128" s="5">
        <f t="shared" si="12"/>
        <v>1432667.3899999997</v>
      </c>
      <c r="M128" s="2">
        <f>Form!$E$5</f>
        <v>0</v>
      </c>
      <c r="N128" s="5">
        <v>-83731.339999999909</v>
      </c>
      <c r="O128" s="14">
        <f t="shared" si="13"/>
        <v>-83731.339999999909</v>
      </c>
      <c r="P128" s="15" t="e">
        <f t="shared" si="14"/>
        <v>#DIV/0!</v>
      </c>
      <c r="Q128" s="16" t="e">
        <f t="shared" si="15"/>
        <v>#DIV/0!</v>
      </c>
      <c r="U128" s="14"/>
    </row>
    <row r="129" spans="1:21" x14ac:dyDescent="0.25">
      <c r="A129" s="7">
        <v>3029</v>
      </c>
      <c r="B129" s="126" t="s">
        <v>168</v>
      </c>
      <c r="C129" s="4">
        <f t="shared" si="17"/>
        <v>147005.48999999996</v>
      </c>
      <c r="D129" s="6">
        <v>1</v>
      </c>
      <c r="E129" s="82">
        <f t="shared" si="16"/>
        <v>0.12</v>
      </c>
      <c r="F129" s="128">
        <v>1032583.3999999998</v>
      </c>
      <c r="G129" s="128">
        <v>0</v>
      </c>
      <c r="H129" s="128">
        <v>54615.35</v>
      </c>
      <c r="I129" s="128">
        <v>60240.000000000015</v>
      </c>
      <c r="J129" s="128">
        <v>49703</v>
      </c>
      <c r="K129" s="128">
        <v>27904</v>
      </c>
      <c r="L129" s="5">
        <f t="shared" si="12"/>
        <v>1225045.7499999998</v>
      </c>
      <c r="M129" s="2">
        <f>Form!$E$5</f>
        <v>0</v>
      </c>
      <c r="N129" s="5">
        <v>-112640.98999999955</v>
      </c>
      <c r="O129" s="14">
        <f t="shared" si="13"/>
        <v>-112640.98999999955</v>
      </c>
      <c r="P129" s="15" t="e">
        <f t="shared" si="14"/>
        <v>#DIV/0!</v>
      </c>
      <c r="Q129" s="16" t="e">
        <f t="shared" si="15"/>
        <v>#DIV/0!</v>
      </c>
      <c r="U129" s="14"/>
    </row>
    <row r="130" spans="1:21" x14ac:dyDescent="0.25">
      <c r="A130" s="7">
        <v>3032</v>
      </c>
      <c r="B130" s="126" t="s">
        <v>169</v>
      </c>
      <c r="C130" s="4">
        <f t="shared" si="17"/>
        <v>146778.90839999999</v>
      </c>
      <c r="D130" s="6">
        <v>1</v>
      </c>
      <c r="E130" s="82">
        <f t="shared" si="16"/>
        <v>0.12</v>
      </c>
      <c r="F130" s="128">
        <v>995213.36999999988</v>
      </c>
      <c r="G130" s="128">
        <v>0</v>
      </c>
      <c r="H130" s="128">
        <v>45009.2</v>
      </c>
      <c r="I130" s="128">
        <v>104690</v>
      </c>
      <c r="J130" s="128">
        <v>43685</v>
      </c>
      <c r="K130" s="128">
        <v>34560</v>
      </c>
      <c r="L130" s="5">
        <f t="shared" si="12"/>
        <v>1223157.5699999998</v>
      </c>
      <c r="M130" s="2">
        <f>Form!$E$5</f>
        <v>0</v>
      </c>
      <c r="N130" s="5">
        <v>-58409.169999999518</v>
      </c>
      <c r="O130" s="14">
        <f t="shared" si="13"/>
        <v>-58409.169999999518</v>
      </c>
      <c r="P130" s="15" t="e">
        <f t="shared" si="14"/>
        <v>#DIV/0!</v>
      </c>
      <c r="Q130" s="16" t="e">
        <f t="shared" si="15"/>
        <v>#DIV/0!</v>
      </c>
      <c r="U130" s="14"/>
    </row>
    <row r="131" spans="1:21" x14ac:dyDescent="0.25">
      <c r="A131" s="7">
        <v>3033</v>
      </c>
      <c r="B131" s="126" t="s">
        <v>170</v>
      </c>
      <c r="C131" s="4">
        <f t="shared" si="17"/>
        <v>130085.43840000003</v>
      </c>
      <c r="D131" s="6">
        <v>1</v>
      </c>
      <c r="E131" s="82">
        <f t="shared" si="16"/>
        <v>0.12</v>
      </c>
      <c r="F131" s="128">
        <v>950428.4700000002</v>
      </c>
      <c r="G131" s="128">
        <v>0</v>
      </c>
      <c r="H131" s="128">
        <v>34653.850000000006</v>
      </c>
      <c r="I131" s="128">
        <v>30299.999999999996</v>
      </c>
      <c r="J131" s="128">
        <v>46083</v>
      </c>
      <c r="K131" s="128">
        <v>22580</v>
      </c>
      <c r="L131" s="5">
        <f t="shared" si="12"/>
        <v>1084045.3200000003</v>
      </c>
      <c r="M131" s="2">
        <f>Form!$E$5</f>
        <v>0</v>
      </c>
      <c r="N131" s="5">
        <v>-66642.679999999789</v>
      </c>
      <c r="O131" s="14">
        <f t="shared" si="13"/>
        <v>-66642.679999999789</v>
      </c>
      <c r="P131" s="15" t="e">
        <f t="shared" si="14"/>
        <v>#DIV/0!</v>
      </c>
      <c r="Q131" s="16" t="e">
        <f t="shared" si="15"/>
        <v>#DIV/0!</v>
      </c>
      <c r="U131" s="14"/>
    </row>
    <row r="132" spans="1:21" x14ac:dyDescent="0.25">
      <c r="A132" s="7">
        <v>3034</v>
      </c>
      <c r="B132" s="126" t="s">
        <v>171</v>
      </c>
      <c r="C132" s="4">
        <f t="shared" si="17"/>
        <v>140754.52560000005</v>
      </c>
      <c r="D132" s="6">
        <v>1</v>
      </c>
      <c r="E132" s="82">
        <f t="shared" si="16"/>
        <v>0.12</v>
      </c>
      <c r="F132" s="128">
        <v>1008618.0300000003</v>
      </c>
      <c r="G132" s="128">
        <v>0</v>
      </c>
      <c r="H132" s="128">
        <v>50068.35</v>
      </c>
      <c r="I132" s="128">
        <v>31030.000000000007</v>
      </c>
      <c r="J132" s="128">
        <v>55334</v>
      </c>
      <c r="K132" s="128">
        <v>27904</v>
      </c>
      <c r="L132" s="5">
        <f t="shared" si="12"/>
        <v>1172954.3800000004</v>
      </c>
      <c r="M132" s="2">
        <f>Form!$E$5</f>
        <v>0</v>
      </c>
      <c r="N132" s="5">
        <v>-81193.670000000071</v>
      </c>
      <c r="O132" s="14">
        <f t="shared" si="13"/>
        <v>-81193.670000000071</v>
      </c>
      <c r="P132" s="15" t="e">
        <f t="shared" si="14"/>
        <v>#DIV/0!</v>
      </c>
      <c r="Q132" s="16" t="e">
        <f t="shared" si="15"/>
        <v>#DIV/0!</v>
      </c>
      <c r="U132" s="14"/>
    </row>
    <row r="133" spans="1:21" x14ac:dyDescent="0.25">
      <c r="A133" s="7">
        <v>3037</v>
      </c>
      <c r="B133" s="126" t="s">
        <v>172</v>
      </c>
      <c r="C133" s="4">
        <f t="shared" si="17"/>
        <v>135398.00999999998</v>
      </c>
      <c r="D133" s="6">
        <v>1</v>
      </c>
      <c r="E133" s="82">
        <f t="shared" si="16"/>
        <v>0.12</v>
      </c>
      <c r="F133" s="128">
        <v>970312.31999999983</v>
      </c>
      <c r="G133" s="128">
        <v>0</v>
      </c>
      <c r="H133" s="128">
        <v>57467.429999999993</v>
      </c>
      <c r="I133" s="128">
        <v>33650</v>
      </c>
      <c r="J133" s="128">
        <v>44557</v>
      </c>
      <c r="K133" s="128">
        <v>22330</v>
      </c>
      <c r="L133" s="5">
        <f t="shared" si="12"/>
        <v>1128316.7499999998</v>
      </c>
      <c r="M133" s="2">
        <f>Form!$E$5</f>
        <v>0</v>
      </c>
      <c r="N133" s="5">
        <v>-46342.129999999874</v>
      </c>
      <c r="O133" s="14">
        <f t="shared" si="13"/>
        <v>-46342.129999999874</v>
      </c>
      <c r="P133" s="15" t="e">
        <f t="shared" si="14"/>
        <v>#DIV/0!</v>
      </c>
      <c r="Q133" s="16" t="e">
        <f t="shared" si="15"/>
        <v>#DIV/0!</v>
      </c>
      <c r="U133" s="14"/>
    </row>
    <row r="134" spans="1:21" x14ac:dyDescent="0.25">
      <c r="A134" s="7">
        <v>3042</v>
      </c>
      <c r="B134" s="126" t="s">
        <v>173</v>
      </c>
      <c r="C134" s="4">
        <f t="shared" si="17"/>
        <v>138835.06200000001</v>
      </c>
      <c r="D134" s="6">
        <v>1</v>
      </c>
      <c r="E134" s="82">
        <f t="shared" si="16"/>
        <v>0.12</v>
      </c>
      <c r="F134" s="128">
        <v>1020331.6100000001</v>
      </c>
      <c r="G134" s="128">
        <v>0</v>
      </c>
      <c r="H134" s="128">
        <v>43932.240000000005</v>
      </c>
      <c r="I134" s="128">
        <v>29210</v>
      </c>
      <c r="J134" s="128">
        <v>59645</v>
      </c>
      <c r="K134" s="128">
        <v>3840</v>
      </c>
      <c r="L134" s="5">
        <f t="shared" si="12"/>
        <v>1156958.8500000001</v>
      </c>
      <c r="M134" s="2">
        <f>Form!$E$5</f>
        <v>0</v>
      </c>
      <c r="N134" s="5">
        <v>-55847.960000000516</v>
      </c>
      <c r="O134" s="14">
        <f t="shared" si="13"/>
        <v>-55847.960000000516</v>
      </c>
      <c r="P134" s="15" t="e">
        <f t="shared" si="14"/>
        <v>#DIV/0!</v>
      </c>
      <c r="Q134" s="16" t="e">
        <f t="shared" si="15"/>
        <v>#DIV/0!</v>
      </c>
      <c r="U134" s="14"/>
    </row>
    <row r="135" spans="1:21" x14ac:dyDescent="0.25">
      <c r="A135" s="7">
        <v>3043</v>
      </c>
      <c r="B135" s="126" t="s">
        <v>174</v>
      </c>
      <c r="C135" s="4">
        <f t="shared" si="17"/>
        <v>88133.564400000003</v>
      </c>
      <c r="D135" s="6">
        <v>1</v>
      </c>
      <c r="E135" s="82">
        <f t="shared" si="16"/>
        <v>0.12</v>
      </c>
      <c r="F135" s="128">
        <v>558966.68000000017</v>
      </c>
      <c r="G135" s="128">
        <v>0</v>
      </c>
      <c r="H135" s="128">
        <v>103332.69</v>
      </c>
      <c r="I135" s="128">
        <v>42920.000000000007</v>
      </c>
      <c r="J135" s="128">
        <v>21742</v>
      </c>
      <c r="K135" s="128">
        <v>7485</v>
      </c>
      <c r="L135" s="5">
        <f t="shared" si="12"/>
        <v>734446.37000000011</v>
      </c>
      <c r="M135" s="2">
        <f>Form!$E$5</f>
        <v>0</v>
      </c>
      <c r="N135" s="5">
        <v>-75707.740000000165</v>
      </c>
      <c r="O135" s="14">
        <f t="shared" si="13"/>
        <v>-75707.740000000165</v>
      </c>
      <c r="P135" s="15" t="e">
        <f t="shared" si="14"/>
        <v>#DIV/0!</v>
      </c>
      <c r="Q135" s="16" t="e">
        <f t="shared" si="15"/>
        <v>#DIV/0!</v>
      </c>
      <c r="U135" s="14"/>
    </row>
    <row r="136" spans="1:21" x14ac:dyDescent="0.25">
      <c r="A136" s="7">
        <v>3050</v>
      </c>
      <c r="B136" s="126" t="s">
        <v>175</v>
      </c>
      <c r="C136" s="4">
        <f t="shared" si="17"/>
        <v>422728.82759999996</v>
      </c>
      <c r="D136" s="6">
        <v>1</v>
      </c>
      <c r="E136" s="82">
        <f t="shared" si="16"/>
        <v>0.12</v>
      </c>
      <c r="F136" s="128">
        <v>3033445.3</v>
      </c>
      <c r="G136" s="128">
        <v>0</v>
      </c>
      <c r="H136" s="128">
        <v>170499.93</v>
      </c>
      <c r="I136" s="128">
        <v>117880</v>
      </c>
      <c r="J136" s="128">
        <v>127699</v>
      </c>
      <c r="K136" s="128">
        <v>73216</v>
      </c>
      <c r="L136" s="5">
        <f t="shared" si="12"/>
        <v>3522740.23</v>
      </c>
      <c r="M136" s="2">
        <f>Form!$E$5</f>
        <v>0</v>
      </c>
      <c r="N136" s="5">
        <v>-116635.91999999981</v>
      </c>
      <c r="O136" s="14">
        <f t="shared" si="13"/>
        <v>-116635.91999999981</v>
      </c>
      <c r="P136" s="15" t="e">
        <f t="shared" si="14"/>
        <v>#DIV/0!</v>
      </c>
      <c r="Q136" s="16" t="e">
        <f t="shared" si="15"/>
        <v>#DIV/0!</v>
      </c>
      <c r="U136" s="14"/>
    </row>
    <row r="137" spans="1:21" x14ac:dyDescent="0.25">
      <c r="A137" s="7">
        <v>3052</v>
      </c>
      <c r="B137" s="126" t="s">
        <v>176</v>
      </c>
      <c r="C137" s="4">
        <f t="shared" si="17"/>
        <v>250076.57880000002</v>
      </c>
      <c r="D137" s="6">
        <v>1</v>
      </c>
      <c r="E137" s="82">
        <f t="shared" si="16"/>
        <v>0.12</v>
      </c>
      <c r="F137" s="128">
        <v>1769327.2200000002</v>
      </c>
      <c r="G137" s="128">
        <v>0</v>
      </c>
      <c r="H137" s="128">
        <v>90631.26999999999</v>
      </c>
      <c r="I137" s="128">
        <v>110260.00000000003</v>
      </c>
      <c r="J137" s="128">
        <v>68185</v>
      </c>
      <c r="K137" s="128">
        <v>45568</v>
      </c>
      <c r="L137" s="5">
        <f t="shared" si="12"/>
        <v>2083971.4900000002</v>
      </c>
      <c r="M137" s="2">
        <f>Form!$E$5</f>
        <v>0</v>
      </c>
      <c r="N137" s="5">
        <v>-154956.29999999941</v>
      </c>
      <c r="O137" s="14">
        <f t="shared" si="13"/>
        <v>-154956.29999999941</v>
      </c>
      <c r="P137" s="15" t="e">
        <f t="shared" si="14"/>
        <v>#DIV/0!</v>
      </c>
      <c r="Q137" s="16" t="e">
        <f t="shared" si="15"/>
        <v>#DIV/0!</v>
      </c>
      <c r="U137" s="14"/>
    </row>
    <row r="138" spans="1:21" x14ac:dyDescent="0.25">
      <c r="A138" s="7">
        <v>3053</v>
      </c>
      <c r="B138" s="126" t="s">
        <v>177</v>
      </c>
      <c r="C138" s="4">
        <f t="shared" si="17"/>
        <v>156182.41679999998</v>
      </c>
      <c r="D138" s="6">
        <v>1</v>
      </c>
      <c r="E138" s="82">
        <f t="shared" si="16"/>
        <v>0.12</v>
      </c>
      <c r="F138" s="128">
        <v>1076221.6299999999</v>
      </c>
      <c r="G138" s="128">
        <v>0</v>
      </c>
      <c r="H138" s="128">
        <v>87253.510000000009</v>
      </c>
      <c r="I138" s="128">
        <v>49130.000000000007</v>
      </c>
      <c r="J138" s="128">
        <v>52238</v>
      </c>
      <c r="K138" s="128">
        <v>36677</v>
      </c>
      <c r="L138" s="5">
        <f t="shared" si="12"/>
        <v>1301520.1399999999</v>
      </c>
      <c r="M138" s="2">
        <f>Form!$E$5</f>
        <v>0</v>
      </c>
      <c r="N138" s="5">
        <v>-79428.48000000001</v>
      </c>
      <c r="O138" s="14">
        <f t="shared" si="13"/>
        <v>-79428.48000000001</v>
      </c>
      <c r="P138" s="15" t="e">
        <f t="shared" si="14"/>
        <v>#DIV/0!</v>
      </c>
      <c r="Q138" s="16" t="e">
        <f t="shared" si="15"/>
        <v>#DIV/0!</v>
      </c>
      <c r="U138" s="14"/>
    </row>
    <row r="139" spans="1:21" x14ac:dyDescent="0.25">
      <c r="A139" s="7">
        <v>3054</v>
      </c>
      <c r="B139" s="126" t="s">
        <v>178</v>
      </c>
      <c r="C139" s="4">
        <f t="shared" si="17"/>
        <v>107688.64440000002</v>
      </c>
      <c r="D139" s="6">
        <v>1</v>
      </c>
      <c r="E139" s="82">
        <f t="shared" si="16"/>
        <v>0.12</v>
      </c>
      <c r="F139" s="128">
        <v>764062.95000000019</v>
      </c>
      <c r="G139" s="128">
        <v>0</v>
      </c>
      <c r="H139" s="128">
        <v>62978.42</v>
      </c>
      <c r="I139" s="128">
        <v>11059.999999999998</v>
      </c>
      <c r="J139" s="128">
        <v>41340</v>
      </c>
      <c r="K139" s="128">
        <v>17964</v>
      </c>
      <c r="L139" s="5">
        <f t="shared" si="12"/>
        <v>897405.37000000023</v>
      </c>
      <c r="M139" s="2">
        <f>Form!$E$5</f>
        <v>0</v>
      </c>
      <c r="N139" s="5">
        <v>-57922.19000000025</v>
      </c>
      <c r="O139" s="14">
        <f t="shared" si="13"/>
        <v>-57922.19000000025</v>
      </c>
      <c r="P139" s="15" t="e">
        <f t="shared" si="14"/>
        <v>#DIV/0!</v>
      </c>
      <c r="Q139" s="16" t="e">
        <f t="shared" si="15"/>
        <v>#DIV/0!</v>
      </c>
      <c r="U139" s="14"/>
    </row>
    <row r="140" spans="1:21" x14ac:dyDescent="0.25">
      <c r="A140" s="7">
        <v>3055</v>
      </c>
      <c r="B140" s="126" t="s">
        <v>179</v>
      </c>
      <c r="C140" s="4">
        <f t="shared" si="17"/>
        <v>170574.70919999998</v>
      </c>
      <c r="D140" s="6">
        <v>1</v>
      </c>
      <c r="E140" s="82">
        <f t="shared" si="16"/>
        <v>0.12</v>
      </c>
      <c r="F140" s="128">
        <v>1181556.98</v>
      </c>
      <c r="G140" s="128">
        <v>0</v>
      </c>
      <c r="H140" s="128">
        <v>64890.930000000008</v>
      </c>
      <c r="I140" s="128">
        <v>99015.000000000029</v>
      </c>
      <c r="J140" s="128">
        <v>47065</v>
      </c>
      <c r="K140" s="128">
        <v>28928</v>
      </c>
      <c r="L140" s="5">
        <f t="shared" si="12"/>
        <v>1421455.91</v>
      </c>
      <c r="M140" s="2">
        <f>Form!$E$5</f>
        <v>0</v>
      </c>
      <c r="N140" s="5">
        <v>-30612.579999999944</v>
      </c>
      <c r="O140" s="14">
        <f t="shared" si="13"/>
        <v>-30612.579999999944</v>
      </c>
      <c r="P140" s="15" t="e">
        <f t="shared" si="14"/>
        <v>#DIV/0!</v>
      </c>
      <c r="Q140" s="16" t="e">
        <f t="shared" si="15"/>
        <v>#DIV/0!</v>
      </c>
      <c r="U140" s="14"/>
    </row>
    <row r="141" spans="1:21" x14ac:dyDescent="0.25">
      <c r="A141" s="7">
        <v>3057</v>
      </c>
      <c r="B141" s="126" t="s">
        <v>180</v>
      </c>
      <c r="C141" s="4">
        <f t="shared" si="17"/>
        <v>142193.09999999998</v>
      </c>
      <c r="D141" s="6">
        <v>1</v>
      </c>
      <c r="E141" s="82">
        <f t="shared" si="16"/>
        <v>0.12</v>
      </c>
      <c r="F141" s="128">
        <v>1027833.6599999998</v>
      </c>
      <c r="G141" s="128">
        <v>0</v>
      </c>
      <c r="H141" s="128">
        <v>42473.839999999989</v>
      </c>
      <c r="I141" s="128">
        <v>55070.000000000007</v>
      </c>
      <c r="J141" s="128">
        <v>43223</v>
      </c>
      <c r="K141" s="128">
        <v>16342</v>
      </c>
      <c r="L141" s="5">
        <f t="shared" si="12"/>
        <v>1184942.4999999998</v>
      </c>
      <c r="M141" s="2">
        <f>Form!$E$5</f>
        <v>0</v>
      </c>
      <c r="N141" s="5">
        <v>-67547.420000000217</v>
      </c>
      <c r="O141" s="14">
        <f t="shared" si="13"/>
        <v>-67547.420000000217</v>
      </c>
      <c r="P141" s="15" t="e">
        <f t="shared" si="14"/>
        <v>#DIV/0!</v>
      </c>
      <c r="Q141" s="16" t="e">
        <f t="shared" si="15"/>
        <v>#DIV/0!</v>
      </c>
      <c r="U141" s="14"/>
    </row>
    <row r="142" spans="1:21" x14ac:dyDescent="0.25">
      <c r="A142" s="7">
        <v>3061</v>
      </c>
      <c r="B142" s="126" t="s">
        <v>181</v>
      </c>
      <c r="C142" s="4">
        <f t="shared" si="17"/>
        <v>94646.687999999995</v>
      </c>
      <c r="D142" s="6">
        <v>1</v>
      </c>
      <c r="E142" s="82">
        <f t="shared" si="16"/>
        <v>0.12</v>
      </c>
      <c r="F142" s="128">
        <v>704799.12</v>
      </c>
      <c r="G142" s="128">
        <v>0</v>
      </c>
      <c r="H142" s="128">
        <v>784.28</v>
      </c>
      <c r="I142" s="128">
        <v>22510</v>
      </c>
      <c r="J142" s="128">
        <v>45409</v>
      </c>
      <c r="K142" s="128">
        <v>15220</v>
      </c>
      <c r="L142" s="5">
        <f t="shared" si="12"/>
        <v>788722.4</v>
      </c>
      <c r="M142" s="2">
        <f>Form!$E$5</f>
        <v>0</v>
      </c>
      <c r="N142" s="5">
        <v>-17746.329999999834</v>
      </c>
      <c r="O142" s="14">
        <f t="shared" si="13"/>
        <v>-17746.329999999834</v>
      </c>
      <c r="P142" s="15" t="e">
        <f t="shared" si="14"/>
        <v>#DIV/0!</v>
      </c>
      <c r="Q142" s="16" t="e">
        <f t="shared" si="15"/>
        <v>#DIV/0!</v>
      </c>
      <c r="U142" s="14"/>
    </row>
    <row r="143" spans="1:21" x14ac:dyDescent="0.25">
      <c r="A143" s="7">
        <v>3062</v>
      </c>
      <c r="B143" s="126" t="s">
        <v>182</v>
      </c>
      <c r="C143" s="4">
        <f t="shared" si="17"/>
        <v>108723.52920000002</v>
      </c>
      <c r="D143" s="6">
        <v>1</v>
      </c>
      <c r="E143" s="82">
        <f t="shared" si="16"/>
        <v>0.12</v>
      </c>
      <c r="F143" s="128">
        <v>764091.8400000002</v>
      </c>
      <c r="G143" s="128">
        <v>0</v>
      </c>
      <c r="H143" s="128">
        <v>56715.569999999985</v>
      </c>
      <c r="I143" s="128">
        <v>25450</v>
      </c>
      <c r="J143" s="128">
        <v>37691</v>
      </c>
      <c r="K143" s="128">
        <v>22081</v>
      </c>
      <c r="L143" s="5">
        <f t="shared" si="12"/>
        <v>906029.41000000015</v>
      </c>
      <c r="M143" s="2">
        <f>Form!$E$5</f>
        <v>0</v>
      </c>
      <c r="N143" s="5">
        <v>-2612.3699999997516</v>
      </c>
      <c r="O143" s="14">
        <f t="shared" si="13"/>
        <v>-2612.3699999997516</v>
      </c>
      <c r="P143" s="15" t="e">
        <f t="shared" si="14"/>
        <v>#DIV/0!</v>
      </c>
      <c r="Q143" s="16" t="str">
        <f t="shared" si="15"/>
        <v>Within Tolerance</v>
      </c>
      <c r="U143" s="14"/>
    </row>
    <row r="144" spans="1:21" x14ac:dyDescent="0.25">
      <c r="A144" s="7">
        <v>3067</v>
      </c>
      <c r="B144" s="126" t="s">
        <v>183</v>
      </c>
      <c r="C144" s="4">
        <f t="shared" si="17"/>
        <v>260384.7372</v>
      </c>
      <c r="D144" s="6">
        <v>1</v>
      </c>
      <c r="E144" s="82">
        <f t="shared" si="16"/>
        <v>0.12</v>
      </c>
      <c r="F144" s="128">
        <v>1835781.37</v>
      </c>
      <c r="G144" s="128">
        <v>0</v>
      </c>
      <c r="H144" s="128">
        <v>85416.44</v>
      </c>
      <c r="I144" s="128">
        <v>137330.00000000003</v>
      </c>
      <c r="J144" s="128">
        <v>77553</v>
      </c>
      <c r="K144" s="128">
        <v>33792</v>
      </c>
      <c r="L144" s="5">
        <f t="shared" si="12"/>
        <v>2169872.81</v>
      </c>
      <c r="M144" s="2">
        <f>Form!$E$5</f>
        <v>0</v>
      </c>
      <c r="N144" s="5">
        <v>-33760.680000001026</v>
      </c>
      <c r="O144" s="14">
        <f t="shared" si="13"/>
        <v>-33760.680000001026</v>
      </c>
      <c r="P144" s="15" t="e">
        <f t="shared" si="14"/>
        <v>#DIV/0!</v>
      </c>
      <c r="Q144" s="16" t="e">
        <f t="shared" si="15"/>
        <v>#DIV/0!</v>
      </c>
      <c r="U144" s="14"/>
    </row>
    <row r="145" spans="1:21" x14ac:dyDescent="0.25">
      <c r="A145" s="7">
        <v>3069</v>
      </c>
      <c r="B145" s="126" t="s">
        <v>184</v>
      </c>
      <c r="C145" s="4">
        <f t="shared" si="17"/>
        <v>98671.943999999974</v>
      </c>
      <c r="D145" s="6">
        <v>1</v>
      </c>
      <c r="E145" s="82">
        <f t="shared" si="16"/>
        <v>0.12</v>
      </c>
      <c r="F145" s="128">
        <v>622821.84999999986</v>
      </c>
      <c r="G145" s="128">
        <v>0</v>
      </c>
      <c r="H145" s="128">
        <v>124978.35</v>
      </c>
      <c r="I145" s="128">
        <v>37189.000000000007</v>
      </c>
      <c r="J145" s="128">
        <v>31788</v>
      </c>
      <c r="K145" s="128">
        <v>5489</v>
      </c>
      <c r="L145" s="5">
        <f t="shared" si="12"/>
        <v>822266.19999999984</v>
      </c>
      <c r="M145" s="2">
        <f>Form!$E$5</f>
        <v>0</v>
      </c>
      <c r="N145" s="5">
        <v>-33190.560000000085</v>
      </c>
      <c r="O145" s="14">
        <f t="shared" si="13"/>
        <v>-33190.560000000085</v>
      </c>
      <c r="P145" s="15" t="e">
        <f t="shared" si="14"/>
        <v>#DIV/0!</v>
      </c>
      <c r="Q145" s="16" t="e">
        <f t="shared" si="15"/>
        <v>#DIV/0!</v>
      </c>
      <c r="U145" s="14"/>
    </row>
    <row r="146" spans="1:21" x14ac:dyDescent="0.25">
      <c r="A146" s="7">
        <v>3072</v>
      </c>
      <c r="B146" s="126" t="s">
        <v>144</v>
      </c>
      <c r="C146" s="4">
        <f t="shared" si="17"/>
        <v>128010.3708</v>
      </c>
      <c r="D146" s="6">
        <v>1</v>
      </c>
      <c r="E146" s="82">
        <f t="shared" si="16"/>
        <v>0.12</v>
      </c>
      <c r="F146" s="128">
        <v>942321.59000000008</v>
      </c>
      <c r="G146" s="128">
        <v>0</v>
      </c>
      <c r="H146" s="128">
        <v>28100.500000000004</v>
      </c>
      <c r="I146" s="128">
        <v>68310.000000000015</v>
      </c>
      <c r="J146" s="128">
        <v>17791</v>
      </c>
      <c r="K146" s="128">
        <v>10230</v>
      </c>
      <c r="L146" s="5">
        <f t="shared" si="12"/>
        <v>1066753.0900000001</v>
      </c>
      <c r="M146" s="2">
        <f>Form!$E$5</f>
        <v>0</v>
      </c>
      <c r="N146" s="5">
        <v>-99321.809999999736</v>
      </c>
      <c r="O146" s="14">
        <f t="shared" si="13"/>
        <v>-99321.809999999736</v>
      </c>
      <c r="P146" s="15" t="e">
        <f t="shared" si="14"/>
        <v>#DIV/0!</v>
      </c>
      <c r="Q146" s="16" t="e">
        <f t="shared" si="15"/>
        <v>#DIV/0!</v>
      </c>
      <c r="U146" s="14"/>
    </row>
    <row r="147" spans="1:21" x14ac:dyDescent="0.25">
      <c r="A147" s="7">
        <v>3073</v>
      </c>
      <c r="B147" s="126" t="s">
        <v>145</v>
      </c>
      <c r="C147" s="4">
        <f t="shared" si="17"/>
        <v>99390.28439999999</v>
      </c>
      <c r="D147" s="6">
        <v>1</v>
      </c>
      <c r="E147" s="82">
        <f t="shared" si="16"/>
        <v>0.12</v>
      </c>
      <c r="F147" s="128">
        <v>684179.53</v>
      </c>
      <c r="G147" s="128">
        <v>0</v>
      </c>
      <c r="H147" s="128">
        <v>43426.84</v>
      </c>
      <c r="I147" s="128">
        <v>27730</v>
      </c>
      <c r="J147" s="128">
        <v>62811</v>
      </c>
      <c r="K147" s="128">
        <v>10105</v>
      </c>
      <c r="L147" s="5">
        <f t="shared" si="12"/>
        <v>828252.37</v>
      </c>
      <c r="M147" s="2">
        <f>Form!$E$5</f>
        <v>0</v>
      </c>
      <c r="N147" s="5">
        <v>-28858.22000000003</v>
      </c>
      <c r="O147" s="14">
        <f t="shared" si="13"/>
        <v>-28858.22000000003</v>
      </c>
      <c r="P147" s="15" t="e">
        <f t="shared" si="14"/>
        <v>#DIV/0!</v>
      </c>
      <c r="Q147" s="16" t="e">
        <f t="shared" si="15"/>
        <v>#DIV/0!</v>
      </c>
      <c r="U147" s="14"/>
    </row>
    <row r="148" spans="1:21" x14ac:dyDescent="0.25">
      <c r="A148" s="7">
        <v>3081</v>
      </c>
      <c r="B148" s="126" t="s">
        <v>185</v>
      </c>
      <c r="C148" s="4">
        <f t="shared" si="17"/>
        <v>186703.26959999997</v>
      </c>
      <c r="D148" s="6">
        <v>1</v>
      </c>
      <c r="E148" s="82">
        <f t="shared" si="16"/>
        <v>0.12</v>
      </c>
      <c r="F148" s="128">
        <v>1299815.7</v>
      </c>
      <c r="G148" s="128">
        <v>0</v>
      </c>
      <c r="H148" s="128">
        <v>69273.87999999999</v>
      </c>
      <c r="I148" s="128">
        <v>13970</v>
      </c>
      <c r="J148" s="128">
        <v>146433</v>
      </c>
      <c r="K148" s="128">
        <v>26368</v>
      </c>
      <c r="L148" s="5">
        <f t="shared" si="12"/>
        <v>1555860.5799999998</v>
      </c>
      <c r="M148" s="2">
        <f>Form!$E$5</f>
        <v>0</v>
      </c>
      <c r="N148" s="5">
        <v>-71460.85999999987</v>
      </c>
      <c r="O148" s="14">
        <f t="shared" si="13"/>
        <v>-71460.85999999987</v>
      </c>
      <c r="P148" s="15" t="e">
        <f t="shared" si="14"/>
        <v>#DIV/0!</v>
      </c>
      <c r="Q148" s="16" t="e">
        <f t="shared" si="15"/>
        <v>#DIV/0!</v>
      </c>
      <c r="U148" s="14"/>
    </row>
    <row r="149" spans="1:21" x14ac:dyDescent="0.25">
      <c r="A149" s="7">
        <v>3082</v>
      </c>
      <c r="B149" s="126" t="s">
        <v>186</v>
      </c>
      <c r="C149" s="4">
        <f t="shared" si="17"/>
        <v>69602.218800000002</v>
      </c>
      <c r="D149" s="6">
        <v>1</v>
      </c>
      <c r="E149" s="82">
        <f t="shared" si="16"/>
        <v>0.12</v>
      </c>
      <c r="F149" s="128">
        <v>510033.79</v>
      </c>
      <c r="G149" s="128">
        <v>0</v>
      </c>
      <c r="H149" s="128">
        <v>28109.7</v>
      </c>
      <c r="I149" s="128">
        <v>5530</v>
      </c>
      <c r="J149" s="128">
        <v>29983</v>
      </c>
      <c r="K149" s="128">
        <v>6362</v>
      </c>
      <c r="L149" s="5">
        <f t="shared" si="12"/>
        <v>580018.49</v>
      </c>
      <c r="M149" s="2">
        <f>Form!$E$5</f>
        <v>0</v>
      </c>
      <c r="N149" s="5">
        <v>-37166.870000000185</v>
      </c>
      <c r="O149" s="14">
        <f t="shared" si="13"/>
        <v>-37166.870000000185</v>
      </c>
      <c r="P149" s="15" t="e">
        <f t="shared" si="14"/>
        <v>#DIV/0!</v>
      </c>
      <c r="Q149" s="16" t="e">
        <f t="shared" si="15"/>
        <v>#DIV/0!</v>
      </c>
      <c r="U149" s="14"/>
    </row>
    <row r="150" spans="1:21" x14ac:dyDescent="0.25">
      <c r="A150" s="7">
        <v>3083</v>
      </c>
      <c r="B150" s="126" t="s">
        <v>187</v>
      </c>
      <c r="C150" s="4">
        <f t="shared" si="17"/>
        <v>89915.529599999994</v>
      </c>
      <c r="D150" s="6">
        <v>1</v>
      </c>
      <c r="E150" s="82">
        <f t="shared" si="16"/>
        <v>0.12</v>
      </c>
      <c r="F150" s="128">
        <v>594430.87</v>
      </c>
      <c r="G150" s="128">
        <v>0</v>
      </c>
      <c r="H150" s="128">
        <v>66171.210000000006</v>
      </c>
      <c r="I150" s="128">
        <v>60680.000000000007</v>
      </c>
      <c r="J150" s="128">
        <v>20778</v>
      </c>
      <c r="K150" s="128">
        <v>7236</v>
      </c>
      <c r="L150" s="5">
        <f t="shared" si="12"/>
        <v>749296.08</v>
      </c>
      <c r="M150" s="2">
        <f>Form!$E$5</f>
        <v>0</v>
      </c>
      <c r="N150" s="5">
        <v>-92342.31999999992</v>
      </c>
      <c r="O150" s="14">
        <f t="shared" si="13"/>
        <v>-92342.31999999992</v>
      </c>
      <c r="P150" s="15" t="e">
        <f t="shared" si="14"/>
        <v>#DIV/0!</v>
      </c>
      <c r="Q150" s="16" t="e">
        <f t="shared" si="15"/>
        <v>#DIV/0!</v>
      </c>
      <c r="U150" s="14"/>
    </row>
    <row r="151" spans="1:21" x14ac:dyDescent="0.25">
      <c r="A151" s="7">
        <v>3084</v>
      </c>
      <c r="B151" s="126" t="s">
        <v>188</v>
      </c>
      <c r="C151" s="4">
        <f t="shared" si="17"/>
        <v>122468.46119999999</v>
      </c>
      <c r="D151" s="6">
        <v>1</v>
      </c>
      <c r="E151" s="82">
        <f t="shared" si="16"/>
        <v>0.12</v>
      </c>
      <c r="F151" s="128">
        <v>846200.69000000006</v>
      </c>
      <c r="G151" s="128">
        <v>0</v>
      </c>
      <c r="H151" s="128">
        <v>73291.820000000007</v>
      </c>
      <c r="I151" s="128">
        <v>56940.000000000007</v>
      </c>
      <c r="J151" s="128">
        <v>39248</v>
      </c>
      <c r="K151" s="128">
        <v>4890</v>
      </c>
      <c r="L151" s="5">
        <f t="shared" ref="L151:L208" si="18">SUM(F151:K151)</f>
        <v>1020570.51</v>
      </c>
      <c r="M151" s="2">
        <f>Form!$E$5</f>
        <v>0</v>
      </c>
      <c r="N151" s="5">
        <v>-39460.970000000161</v>
      </c>
      <c r="O151" s="14">
        <f t="shared" si="13"/>
        <v>-39460.970000000161</v>
      </c>
      <c r="P151" s="15" t="e">
        <f t="shared" si="14"/>
        <v>#DIV/0!</v>
      </c>
      <c r="Q151" s="16" t="e">
        <f t="shared" si="15"/>
        <v>#DIV/0!</v>
      </c>
      <c r="U151" s="14"/>
    </row>
    <row r="152" spans="1:21" x14ac:dyDescent="0.25">
      <c r="A152" s="7">
        <v>3088</v>
      </c>
      <c r="B152" s="126" t="s">
        <v>189</v>
      </c>
      <c r="C152" s="4">
        <f t="shared" si="17"/>
        <v>280923.72720000002</v>
      </c>
      <c r="D152" s="6">
        <v>1</v>
      </c>
      <c r="E152" s="82">
        <f t="shared" si="16"/>
        <v>0.12</v>
      </c>
      <c r="F152" s="128">
        <v>1994378.84</v>
      </c>
      <c r="G152" s="128">
        <v>0</v>
      </c>
      <c r="H152" s="128">
        <v>65854.22</v>
      </c>
      <c r="I152" s="128">
        <v>116840</v>
      </c>
      <c r="J152" s="128">
        <v>93302</v>
      </c>
      <c r="K152" s="128">
        <v>70656</v>
      </c>
      <c r="L152" s="5">
        <f t="shared" si="18"/>
        <v>2341031.06</v>
      </c>
      <c r="M152" s="2">
        <f>Form!$E$5</f>
        <v>0</v>
      </c>
      <c r="N152" s="5">
        <v>-69499.71000000136</v>
      </c>
      <c r="O152" s="14">
        <f t="shared" si="13"/>
        <v>-69499.71000000136</v>
      </c>
      <c r="P152" s="15" t="e">
        <f t="shared" si="14"/>
        <v>#DIV/0!</v>
      </c>
      <c r="Q152" s="16" t="e">
        <f t="shared" si="15"/>
        <v>#DIV/0!</v>
      </c>
      <c r="U152" s="14"/>
    </row>
    <row r="153" spans="1:21" x14ac:dyDescent="0.25">
      <c r="A153" s="7">
        <v>3089</v>
      </c>
      <c r="B153" s="126" t="s">
        <v>190</v>
      </c>
      <c r="C153" s="4">
        <f t="shared" si="17"/>
        <v>139442.78879999998</v>
      </c>
      <c r="D153" s="6">
        <v>1</v>
      </c>
      <c r="E153" s="82">
        <f t="shared" si="16"/>
        <v>0.12</v>
      </c>
      <c r="F153" s="128">
        <v>1012218.73</v>
      </c>
      <c r="G153" s="128">
        <v>0</v>
      </c>
      <c r="H153" s="128">
        <v>29294.510000000002</v>
      </c>
      <c r="I153" s="128">
        <v>54760.000000000015</v>
      </c>
      <c r="J153" s="128">
        <v>47536</v>
      </c>
      <c r="K153" s="128">
        <v>18214</v>
      </c>
      <c r="L153" s="5">
        <f t="shared" si="18"/>
        <v>1162023.24</v>
      </c>
      <c r="M153" s="2">
        <f>Form!$E$5</f>
        <v>0</v>
      </c>
      <c r="N153" s="5">
        <v>-5169.439999999795</v>
      </c>
      <c r="O153" s="14">
        <f t="shared" si="13"/>
        <v>-5169.439999999795</v>
      </c>
      <c r="P153" s="15" t="e">
        <f t="shared" si="14"/>
        <v>#DIV/0!</v>
      </c>
      <c r="Q153" s="16" t="str">
        <f t="shared" si="15"/>
        <v>Within Tolerance</v>
      </c>
      <c r="U153" s="14"/>
    </row>
    <row r="154" spans="1:21" x14ac:dyDescent="0.25">
      <c r="A154" s="7">
        <v>3090</v>
      </c>
      <c r="B154" s="126" t="s">
        <v>191</v>
      </c>
      <c r="C154" s="4">
        <f t="shared" si="17"/>
        <v>96084.338400000022</v>
      </c>
      <c r="D154" s="6">
        <v>1</v>
      </c>
      <c r="E154" s="82">
        <f t="shared" si="16"/>
        <v>0.12</v>
      </c>
      <c r="F154" s="128">
        <v>699251.79000000015</v>
      </c>
      <c r="G154" s="128">
        <v>0</v>
      </c>
      <c r="H154" s="128">
        <v>32903.029999999992</v>
      </c>
      <c r="I154" s="128">
        <v>16280</v>
      </c>
      <c r="J154" s="128">
        <v>38296</v>
      </c>
      <c r="K154" s="128">
        <v>13972</v>
      </c>
      <c r="L154" s="5">
        <f t="shared" si="18"/>
        <v>800702.82000000018</v>
      </c>
      <c r="M154" s="2">
        <f>Form!$E$5</f>
        <v>0</v>
      </c>
      <c r="N154" s="5">
        <v>-74881.250000000015</v>
      </c>
      <c r="O154" s="14">
        <f t="shared" si="13"/>
        <v>-74881.250000000015</v>
      </c>
      <c r="P154" s="15" t="e">
        <f t="shared" si="14"/>
        <v>#DIV/0!</v>
      </c>
      <c r="Q154" s="16" t="e">
        <f t="shared" si="15"/>
        <v>#DIV/0!</v>
      </c>
      <c r="U154" s="14"/>
    </row>
    <row r="155" spans="1:21" x14ac:dyDescent="0.25">
      <c r="A155" s="7">
        <v>3091</v>
      </c>
      <c r="B155" s="126" t="s">
        <v>192</v>
      </c>
      <c r="C155" s="4">
        <f t="shared" si="17"/>
        <v>81700.095599999986</v>
      </c>
      <c r="D155" s="6">
        <v>1</v>
      </c>
      <c r="E155" s="82">
        <f t="shared" si="16"/>
        <v>0.12</v>
      </c>
      <c r="F155" s="128">
        <v>560109.02999999991</v>
      </c>
      <c r="G155" s="128">
        <v>0</v>
      </c>
      <c r="H155" s="128">
        <v>62187.1</v>
      </c>
      <c r="I155" s="128">
        <v>26640</v>
      </c>
      <c r="J155" s="128">
        <v>26658</v>
      </c>
      <c r="K155" s="128">
        <v>5240</v>
      </c>
      <c r="L155" s="5">
        <f t="shared" si="18"/>
        <v>680834.12999999989</v>
      </c>
      <c r="M155" s="2">
        <f>Form!$E$5</f>
        <v>0</v>
      </c>
      <c r="N155" s="5">
        <v>-12184.299999999967</v>
      </c>
      <c r="O155" s="14">
        <f t="shared" si="13"/>
        <v>-12184.299999999967</v>
      </c>
      <c r="P155" s="15" t="e">
        <f t="shared" si="14"/>
        <v>#DIV/0!</v>
      </c>
      <c r="Q155" s="16" t="e">
        <f t="shared" si="15"/>
        <v>#DIV/0!</v>
      </c>
      <c r="U155" s="14"/>
    </row>
    <row r="156" spans="1:21" x14ac:dyDescent="0.25">
      <c r="A156" s="7">
        <v>3092</v>
      </c>
      <c r="B156" s="126" t="s">
        <v>193</v>
      </c>
      <c r="C156" s="4">
        <f t="shared" si="17"/>
        <v>112484.1324</v>
      </c>
      <c r="D156" s="6">
        <v>1</v>
      </c>
      <c r="E156" s="82">
        <f t="shared" si="16"/>
        <v>0.12</v>
      </c>
      <c r="F156" s="128">
        <v>845676.76</v>
      </c>
      <c r="G156" s="128">
        <v>0</v>
      </c>
      <c r="H156" s="128">
        <v>16036.01</v>
      </c>
      <c r="I156" s="128">
        <v>32870</v>
      </c>
      <c r="J156" s="128">
        <v>28563</v>
      </c>
      <c r="K156" s="128">
        <v>14222</v>
      </c>
      <c r="L156" s="5">
        <f t="shared" si="18"/>
        <v>937367.77</v>
      </c>
      <c r="M156" s="2">
        <f>Form!$E$5</f>
        <v>0</v>
      </c>
      <c r="N156" s="5">
        <v>-63483.4099999998</v>
      </c>
      <c r="O156" s="14">
        <f t="shared" si="13"/>
        <v>-63483.4099999998</v>
      </c>
      <c r="P156" s="15" t="e">
        <f t="shared" si="14"/>
        <v>#DIV/0!</v>
      </c>
      <c r="Q156" s="16" t="e">
        <f t="shared" si="15"/>
        <v>#DIV/0!</v>
      </c>
      <c r="U156" s="14"/>
    </row>
    <row r="157" spans="1:21" x14ac:dyDescent="0.25">
      <c r="A157" s="7">
        <v>3108</v>
      </c>
      <c r="B157" s="126" t="s">
        <v>194</v>
      </c>
      <c r="C157" s="4">
        <f t="shared" si="17"/>
        <v>175849.27919999996</v>
      </c>
      <c r="D157" s="6">
        <v>1</v>
      </c>
      <c r="E157" s="82">
        <f t="shared" si="16"/>
        <v>0.12</v>
      </c>
      <c r="F157" s="128">
        <v>1159600.4999999998</v>
      </c>
      <c r="G157" s="128">
        <v>0</v>
      </c>
      <c r="H157" s="128">
        <v>127668.15999999999</v>
      </c>
      <c r="I157" s="128">
        <v>109310.00000000003</v>
      </c>
      <c r="J157" s="128">
        <v>45753</v>
      </c>
      <c r="K157" s="128">
        <v>23079</v>
      </c>
      <c r="L157" s="5">
        <f t="shared" si="18"/>
        <v>1465410.6599999997</v>
      </c>
      <c r="M157" s="2">
        <f>Form!$E$5</f>
        <v>0</v>
      </c>
      <c r="N157" s="5">
        <v>-60623.68999999894</v>
      </c>
      <c r="O157" s="14">
        <f t="shared" si="13"/>
        <v>-60623.68999999894</v>
      </c>
      <c r="P157" s="15" t="e">
        <f t="shared" si="14"/>
        <v>#DIV/0!</v>
      </c>
      <c r="Q157" s="16" t="e">
        <f t="shared" si="15"/>
        <v>#DIV/0!</v>
      </c>
      <c r="U157" s="14"/>
    </row>
    <row r="158" spans="1:21" x14ac:dyDescent="0.25">
      <c r="A158" s="7">
        <v>3109</v>
      </c>
      <c r="B158" s="126" t="s">
        <v>195</v>
      </c>
      <c r="C158" s="4">
        <f t="shared" si="17"/>
        <v>147394.98120000001</v>
      </c>
      <c r="D158" s="6">
        <v>1</v>
      </c>
      <c r="E158" s="82">
        <f t="shared" si="16"/>
        <v>0.12</v>
      </c>
      <c r="F158" s="128">
        <v>1036345.8800000001</v>
      </c>
      <c r="G158" s="128">
        <v>0</v>
      </c>
      <c r="H158" s="128">
        <v>77953.62999999999</v>
      </c>
      <c r="I158" s="128">
        <v>23680</v>
      </c>
      <c r="J158" s="128">
        <v>58568</v>
      </c>
      <c r="K158" s="128">
        <v>31744</v>
      </c>
      <c r="L158" s="5">
        <f t="shared" si="18"/>
        <v>1228291.51</v>
      </c>
      <c r="M158" s="2">
        <f>Form!$E$5</f>
        <v>0</v>
      </c>
      <c r="N158" s="5">
        <v>-18374.940000000082</v>
      </c>
      <c r="O158" s="14">
        <f t="shared" si="13"/>
        <v>-18374.940000000082</v>
      </c>
      <c r="P158" s="15" t="e">
        <f t="shared" si="14"/>
        <v>#DIV/0!</v>
      </c>
      <c r="Q158" s="16" t="e">
        <f t="shared" si="15"/>
        <v>#DIV/0!</v>
      </c>
      <c r="U158" s="14"/>
    </row>
    <row r="159" spans="1:21" x14ac:dyDescent="0.25">
      <c r="A159" s="7">
        <v>3111</v>
      </c>
      <c r="B159" s="126" t="s">
        <v>196</v>
      </c>
      <c r="C159" s="4">
        <f t="shared" si="17"/>
        <v>181298.17680000002</v>
      </c>
      <c r="D159" s="6">
        <v>1</v>
      </c>
      <c r="E159" s="82">
        <f t="shared" si="16"/>
        <v>0.12</v>
      </c>
      <c r="F159" s="128">
        <v>1172611.77</v>
      </c>
      <c r="G159" s="128">
        <v>0</v>
      </c>
      <c r="H159" s="128">
        <v>126212.37</v>
      </c>
      <c r="I159" s="128">
        <v>133200</v>
      </c>
      <c r="J159" s="128">
        <v>44746</v>
      </c>
      <c r="K159" s="128">
        <v>34048</v>
      </c>
      <c r="L159" s="5">
        <f t="shared" si="18"/>
        <v>1510818.1400000001</v>
      </c>
      <c r="M159" s="2">
        <f>Form!$E$5</f>
        <v>0</v>
      </c>
      <c r="N159" s="5">
        <v>-203209.13999999926</v>
      </c>
      <c r="O159" s="14">
        <f t="shared" si="13"/>
        <v>-203209.13999999926</v>
      </c>
      <c r="P159" s="15" t="e">
        <f t="shared" si="14"/>
        <v>#DIV/0!</v>
      </c>
      <c r="Q159" s="16" t="e">
        <f t="shared" si="15"/>
        <v>#DIV/0!</v>
      </c>
      <c r="U159" s="14"/>
    </row>
    <row r="160" spans="1:21" x14ac:dyDescent="0.25">
      <c r="A160" s="7">
        <v>3117</v>
      </c>
      <c r="B160" s="126" t="s">
        <v>197</v>
      </c>
      <c r="C160" s="4">
        <f t="shared" si="17"/>
        <v>157685.55119999996</v>
      </c>
      <c r="D160" s="6">
        <v>1</v>
      </c>
      <c r="E160" s="82">
        <f t="shared" si="16"/>
        <v>0.12</v>
      </c>
      <c r="F160" s="128">
        <v>1094569.1099999999</v>
      </c>
      <c r="G160" s="128">
        <v>0</v>
      </c>
      <c r="H160" s="128">
        <v>59368.15</v>
      </c>
      <c r="I160" s="128">
        <v>100640.00000000003</v>
      </c>
      <c r="J160" s="128">
        <v>35642</v>
      </c>
      <c r="K160" s="128">
        <v>23827</v>
      </c>
      <c r="L160" s="5">
        <f t="shared" si="18"/>
        <v>1314046.2599999998</v>
      </c>
      <c r="M160" s="2">
        <f>Form!$E$5</f>
        <v>0</v>
      </c>
      <c r="N160" s="5">
        <v>-102489.68000000024</v>
      </c>
      <c r="O160" s="14">
        <f t="shared" si="13"/>
        <v>-102489.68000000024</v>
      </c>
      <c r="P160" s="15" t="e">
        <f t="shared" si="14"/>
        <v>#DIV/0!</v>
      </c>
      <c r="Q160" s="16" t="e">
        <f t="shared" si="15"/>
        <v>#DIV/0!</v>
      </c>
      <c r="U160" s="14"/>
    </row>
    <row r="161" spans="1:21" x14ac:dyDescent="0.25">
      <c r="A161" s="7">
        <v>3120</v>
      </c>
      <c r="B161" s="126" t="s">
        <v>198</v>
      </c>
      <c r="C161" s="4">
        <f t="shared" si="17"/>
        <v>151085.55359999996</v>
      </c>
      <c r="D161" s="6">
        <v>1</v>
      </c>
      <c r="E161" s="82">
        <f t="shared" si="16"/>
        <v>0.12</v>
      </c>
      <c r="F161" s="128">
        <v>1055931.1299999999</v>
      </c>
      <c r="G161" s="128">
        <v>0</v>
      </c>
      <c r="H161" s="128">
        <v>76899.150000000009</v>
      </c>
      <c r="I161" s="128">
        <v>43230</v>
      </c>
      <c r="J161" s="128">
        <v>54314</v>
      </c>
      <c r="K161" s="128">
        <v>28672</v>
      </c>
      <c r="L161" s="5">
        <f t="shared" si="18"/>
        <v>1259046.2799999998</v>
      </c>
      <c r="M161" s="2">
        <f>Form!$E$5</f>
        <v>0</v>
      </c>
      <c r="N161" s="5">
        <v>-90463.420000000071</v>
      </c>
      <c r="O161" s="14">
        <f t="shared" ref="O161:O219" si="19">N161-M161</f>
        <v>-90463.420000000071</v>
      </c>
      <c r="P161" s="15" t="e">
        <f t="shared" ref="P161:P219" si="20">O161/M161</f>
        <v>#DIV/0!</v>
      </c>
      <c r="Q161" s="16" t="e">
        <f t="shared" ref="Q161:Q219" si="21">IF(AND(O161&lt;$Q$2,O161&gt;-$Q$2),"Within Tolerance",IF(AND(P161&lt;$R$2,P161&gt;-$R$2),"Within Tolerance",O161))</f>
        <v>#DIV/0!</v>
      </c>
      <c r="U161" s="14"/>
    </row>
    <row r="162" spans="1:21" x14ac:dyDescent="0.25">
      <c r="A162" s="7">
        <v>3122</v>
      </c>
      <c r="B162" s="126" t="s">
        <v>199</v>
      </c>
      <c r="C162" s="4">
        <f t="shared" si="17"/>
        <v>273112.3703999999</v>
      </c>
      <c r="D162" s="6">
        <v>1</v>
      </c>
      <c r="E162" s="82">
        <f t="shared" si="16"/>
        <v>0.12</v>
      </c>
      <c r="F162" s="128">
        <v>1986416.6299999997</v>
      </c>
      <c r="G162" s="128">
        <v>0</v>
      </c>
      <c r="H162" s="128">
        <v>120710.79</v>
      </c>
      <c r="I162" s="128">
        <v>47892.000000000007</v>
      </c>
      <c r="J162" s="128">
        <v>85845</v>
      </c>
      <c r="K162" s="128">
        <v>35072</v>
      </c>
      <c r="L162" s="5">
        <f t="shared" si="18"/>
        <v>2275936.4199999995</v>
      </c>
      <c r="M162" s="2">
        <f>Form!$E$5</f>
        <v>0</v>
      </c>
      <c r="N162" s="5">
        <v>-53366.51000000046</v>
      </c>
      <c r="O162" s="14">
        <f t="shared" si="19"/>
        <v>-53366.51000000046</v>
      </c>
      <c r="P162" s="15" t="e">
        <f t="shared" si="20"/>
        <v>#DIV/0!</v>
      </c>
      <c r="Q162" s="16" t="e">
        <f t="shared" si="21"/>
        <v>#DIV/0!</v>
      </c>
      <c r="U162" s="14"/>
    </row>
    <row r="163" spans="1:21" x14ac:dyDescent="0.25">
      <c r="A163" s="7">
        <v>3123</v>
      </c>
      <c r="B163" s="126" t="s">
        <v>200</v>
      </c>
      <c r="C163" s="4">
        <f t="shared" si="17"/>
        <v>90485.589600000007</v>
      </c>
      <c r="D163" s="6">
        <v>1</v>
      </c>
      <c r="E163" s="82">
        <f t="shared" si="16"/>
        <v>0.12</v>
      </c>
      <c r="F163" s="128">
        <v>607049.80000000005</v>
      </c>
      <c r="G163" s="128">
        <v>0</v>
      </c>
      <c r="H163" s="128">
        <v>83579.389999999985</v>
      </c>
      <c r="I163" s="128">
        <v>28723.389999999996</v>
      </c>
      <c r="J163" s="128">
        <v>28581</v>
      </c>
      <c r="K163" s="128">
        <v>6113</v>
      </c>
      <c r="L163" s="5">
        <f t="shared" si="18"/>
        <v>754046.58000000007</v>
      </c>
      <c r="M163" s="2">
        <f>Form!$E$5</f>
        <v>0</v>
      </c>
      <c r="N163" s="5">
        <v>-84043.64</v>
      </c>
      <c r="O163" s="14">
        <f t="shared" si="19"/>
        <v>-84043.64</v>
      </c>
      <c r="P163" s="15" t="e">
        <f t="shared" si="20"/>
        <v>#DIV/0!</v>
      </c>
      <c r="Q163" s="16" t="e">
        <f t="shared" si="21"/>
        <v>#DIV/0!</v>
      </c>
      <c r="U163" s="14"/>
    </row>
    <row r="164" spans="1:21" x14ac:dyDescent="0.25">
      <c r="A164" s="7">
        <v>3126</v>
      </c>
      <c r="B164" s="126" t="s">
        <v>201</v>
      </c>
      <c r="C164" s="4">
        <f t="shared" si="17"/>
        <v>85152.985199999996</v>
      </c>
      <c r="D164" s="6">
        <v>1</v>
      </c>
      <c r="E164" s="82">
        <f t="shared" si="16"/>
        <v>0.12</v>
      </c>
      <c r="F164" s="128">
        <v>615203.21</v>
      </c>
      <c r="G164" s="128">
        <v>0</v>
      </c>
      <c r="H164" s="128">
        <v>0</v>
      </c>
      <c r="I164" s="128">
        <v>48060.000000000007</v>
      </c>
      <c r="J164" s="128">
        <v>35117</v>
      </c>
      <c r="K164" s="128">
        <v>11228</v>
      </c>
      <c r="L164" s="5">
        <f t="shared" si="18"/>
        <v>709608.21</v>
      </c>
      <c r="M164" s="2">
        <f>Form!$E$5</f>
        <v>0</v>
      </c>
      <c r="N164" s="5">
        <v>-51703.379999999532</v>
      </c>
      <c r="O164" s="14">
        <f t="shared" si="19"/>
        <v>-51703.379999999532</v>
      </c>
      <c r="P164" s="15" t="e">
        <f t="shared" si="20"/>
        <v>#DIV/0!</v>
      </c>
      <c r="Q164" s="16" t="e">
        <f t="shared" si="21"/>
        <v>#DIV/0!</v>
      </c>
      <c r="U164" s="14"/>
    </row>
    <row r="165" spans="1:21" x14ac:dyDescent="0.25">
      <c r="A165" s="7">
        <v>3129</v>
      </c>
      <c r="B165" s="126" t="s">
        <v>202</v>
      </c>
      <c r="C165" s="4">
        <f t="shared" si="17"/>
        <v>166754.69639999999</v>
      </c>
      <c r="D165" s="6">
        <v>1</v>
      </c>
      <c r="E165" s="82">
        <f t="shared" si="16"/>
        <v>0.12</v>
      </c>
      <c r="F165" s="128">
        <v>1080098.21</v>
      </c>
      <c r="G165" s="128">
        <v>0</v>
      </c>
      <c r="H165" s="128">
        <v>148944.25999999998</v>
      </c>
      <c r="I165" s="128">
        <v>48759.999999999993</v>
      </c>
      <c r="J165" s="128">
        <v>80332</v>
      </c>
      <c r="K165" s="128">
        <v>31488</v>
      </c>
      <c r="L165" s="5">
        <f t="shared" si="18"/>
        <v>1389622.47</v>
      </c>
      <c r="M165" s="2">
        <f>Form!$E$5</f>
        <v>0</v>
      </c>
      <c r="N165" s="5">
        <v>-167714.98000000013</v>
      </c>
      <c r="O165" s="14">
        <f t="shared" si="19"/>
        <v>-167714.98000000013</v>
      </c>
      <c r="P165" s="15" t="e">
        <f t="shared" si="20"/>
        <v>#DIV/0!</v>
      </c>
      <c r="Q165" s="16" t="e">
        <f t="shared" si="21"/>
        <v>#DIV/0!</v>
      </c>
      <c r="U165" s="14"/>
    </row>
    <row r="166" spans="1:21" x14ac:dyDescent="0.25">
      <c r="A166" s="7">
        <v>3130</v>
      </c>
      <c r="B166" s="126" t="s">
        <v>203</v>
      </c>
      <c r="C166" s="4">
        <f t="shared" si="17"/>
        <v>88482.421199999982</v>
      </c>
      <c r="D166" s="6">
        <v>1</v>
      </c>
      <c r="E166" s="82">
        <f t="shared" si="16"/>
        <v>0.12</v>
      </c>
      <c r="F166" s="128">
        <v>642074.50999999989</v>
      </c>
      <c r="G166" s="128">
        <v>0</v>
      </c>
      <c r="H166" s="128">
        <v>31127.999999999996</v>
      </c>
      <c r="I166" s="128">
        <v>22200</v>
      </c>
      <c r="J166" s="128">
        <v>32345</v>
      </c>
      <c r="K166" s="128">
        <v>9606</v>
      </c>
      <c r="L166" s="5">
        <f t="shared" si="18"/>
        <v>737353.50999999989</v>
      </c>
      <c r="M166" s="2">
        <f>Form!$E$5</f>
        <v>0</v>
      </c>
      <c r="N166" s="5">
        <v>-42623.310000000027</v>
      </c>
      <c r="O166" s="14">
        <f t="shared" si="19"/>
        <v>-42623.310000000027</v>
      </c>
      <c r="P166" s="15" t="e">
        <f t="shared" si="20"/>
        <v>#DIV/0!</v>
      </c>
      <c r="Q166" s="16" t="e">
        <f t="shared" si="21"/>
        <v>#DIV/0!</v>
      </c>
      <c r="U166" s="14"/>
    </row>
    <row r="167" spans="1:21" x14ac:dyDescent="0.25">
      <c r="A167" s="7">
        <v>3136</v>
      </c>
      <c r="B167" s="126" t="s">
        <v>204</v>
      </c>
      <c r="C167" s="4">
        <f t="shared" si="17"/>
        <v>87618.649200000014</v>
      </c>
      <c r="D167" s="6">
        <v>1</v>
      </c>
      <c r="E167" s="82">
        <f t="shared" si="16"/>
        <v>0.12</v>
      </c>
      <c r="F167" s="128">
        <v>596841.56000000017</v>
      </c>
      <c r="G167" s="128">
        <v>0</v>
      </c>
      <c r="H167" s="128">
        <v>80891.849999999991</v>
      </c>
      <c r="I167" s="128">
        <v>11380.000000000002</v>
      </c>
      <c r="J167" s="128">
        <v>36252</v>
      </c>
      <c r="K167" s="128">
        <v>4790</v>
      </c>
      <c r="L167" s="5">
        <f t="shared" si="18"/>
        <v>730155.41000000015</v>
      </c>
      <c r="M167" s="2">
        <f>Form!$E$5</f>
        <v>0</v>
      </c>
      <c r="N167" s="5">
        <v>-49222.139999999919</v>
      </c>
      <c r="O167" s="14">
        <f t="shared" si="19"/>
        <v>-49222.139999999919</v>
      </c>
      <c r="P167" s="15" t="e">
        <f t="shared" si="20"/>
        <v>#DIV/0!</v>
      </c>
      <c r="Q167" s="16" t="e">
        <f t="shared" si="21"/>
        <v>#DIV/0!</v>
      </c>
      <c r="U167" s="14"/>
    </row>
    <row r="168" spans="1:21" x14ac:dyDescent="0.25">
      <c r="A168" s="7">
        <v>3137</v>
      </c>
      <c r="B168" s="126" t="s">
        <v>205</v>
      </c>
      <c r="C168" s="4">
        <f t="shared" si="17"/>
        <v>85493.275199999989</v>
      </c>
      <c r="D168" s="6">
        <v>1</v>
      </c>
      <c r="E168" s="82">
        <f t="shared" si="16"/>
        <v>0.12</v>
      </c>
      <c r="F168" s="128">
        <v>594044.81999999995</v>
      </c>
      <c r="G168" s="128">
        <v>0</v>
      </c>
      <c r="H168" s="128">
        <v>43701.140000000007</v>
      </c>
      <c r="I168" s="128">
        <v>29940</v>
      </c>
      <c r="J168" s="128">
        <v>32782</v>
      </c>
      <c r="K168" s="128">
        <v>11976</v>
      </c>
      <c r="L168" s="5">
        <f t="shared" si="18"/>
        <v>712443.96</v>
      </c>
      <c r="M168" s="2">
        <f>Form!$E$5</f>
        <v>0</v>
      </c>
      <c r="N168" s="5">
        <v>-30965.099999999904</v>
      </c>
      <c r="O168" s="14">
        <f t="shared" si="19"/>
        <v>-30965.099999999904</v>
      </c>
      <c r="P168" s="15" t="e">
        <f t="shared" si="20"/>
        <v>#DIV/0!</v>
      </c>
      <c r="Q168" s="16" t="e">
        <f t="shared" si="21"/>
        <v>#DIV/0!</v>
      </c>
      <c r="U168" s="14"/>
    </row>
    <row r="169" spans="1:21" x14ac:dyDescent="0.25">
      <c r="A169" s="7">
        <v>3138</v>
      </c>
      <c r="B169" s="126" t="s">
        <v>206</v>
      </c>
      <c r="C169" s="4">
        <f t="shared" si="17"/>
        <v>86029.115999999995</v>
      </c>
      <c r="D169" s="6">
        <v>1</v>
      </c>
      <c r="E169" s="82">
        <f t="shared" si="16"/>
        <v>0.12</v>
      </c>
      <c r="F169" s="128">
        <v>598655.8899999999</v>
      </c>
      <c r="G169" s="128">
        <v>0</v>
      </c>
      <c r="H169" s="128">
        <v>42610.410000000011</v>
      </c>
      <c r="I169" s="128">
        <v>36220</v>
      </c>
      <c r="J169" s="128">
        <v>31065</v>
      </c>
      <c r="K169" s="128">
        <v>8358</v>
      </c>
      <c r="L169" s="5">
        <f t="shared" si="18"/>
        <v>716909.29999999993</v>
      </c>
      <c r="M169" s="2">
        <f>Form!$E$5</f>
        <v>0</v>
      </c>
      <c r="N169" s="5">
        <v>-9304.7399999998815</v>
      </c>
      <c r="O169" s="14">
        <f t="shared" si="19"/>
        <v>-9304.7399999998815</v>
      </c>
      <c r="P169" s="15" t="e">
        <f t="shared" si="20"/>
        <v>#DIV/0!</v>
      </c>
      <c r="Q169" s="16" t="str">
        <f t="shared" si="21"/>
        <v>Within Tolerance</v>
      </c>
      <c r="U169" s="14"/>
    </row>
    <row r="170" spans="1:21" x14ac:dyDescent="0.25">
      <c r="A170" s="7">
        <v>3139</v>
      </c>
      <c r="B170" s="126" t="s">
        <v>207</v>
      </c>
      <c r="C170" s="4">
        <f t="shared" si="17"/>
        <v>95821.63440000001</v>
      </c>
      <c r="D170" s="6">
        <v>1</v>
      </c>
      <c r="E170" s="82">
        <f t="shared" si="16"/>
        <v>0.12</v>
      </c>
      <c r="F170" s="128">
        <v>656431.8600000001</v>
      </c>
      <c r="G170" s="128">
        <v>0</v>
      </c>
      <c r="H170" s="128">
        <v>60039.760000000009</v>
      </c>
      <c r="I170" s="128">
        <v>25159.999999999996</v>
      </c>
      <c r="J170" s="128">
        <v>37795</v>
      </c>
      <c r="K170" s="128">
        <v>19087</v>
      </c>
      <c r="L170" s="5">
        <f t="shared" si="18"/>
        <v>798513.62000000011</v>
      </c>
      <c r="M170" s="2">
        <f>Form!$E$5</f>
        <v>0</v>
      </c>
      <c r="N170" s="5">
        <v>-84963.93999999993</v>
      </c>
      <c r="O170" s="14">
        <f t="shared" si="19"/>
        <v>-84963.93999999993</v>
      </c>
      <c r="P170" s="15" t="e">
        <f t="shared" si="20"/>
        <v>#DIV/0!</v>
      </c>
      <c r="Q170" s="16" t="e">
        <f t="shared" si="21"/>
        <v>#DIV/0!</v>
      </c>
      <c r="U170" s="14"/>
    </row>
    <row r="171" spans="1:21" x14ac:dyDescent="0.25">
      <c r="A171" s="7">
        <v>3145</v>
      </c>
      <c r="B171" s="126" t="s">
        <v>208</v>
      </c>
      <c r="C171" s="4">
        <f t="shared" si="17"/>
        <v>132749.17919999998</v>
      </c>
      <c r="D171" s="6">
        <v>1</v>
      </c>
      <c r="E171" s="82">
        <f t="shared" si="16"/>
        <v>0.12</v>
      </c>
      <c r="F171" s="128">
        <v>890223.22999999986</v>
      </c>
      <c r="G171" s="128">
        <v>0</v>
      </c>
      <c r="H171" s="128">
        <v>88780.930000000008</v>
      </c>
      <c r="I171" s="128">
        <v>66480.000000000015</v>
      </c>
      <c r="J171" s="128">
        <v>48533</v>
      </c>
      <c r="K171" s="128">
        <v>12226</v>
      </c>
      <c r="L171" s="5">
        <f t="shared" si="18"/>
        <v>1106243.1599999999</v>
      </c>
      <c r="M171" s="2">
        <f>Form!$E$5</f>
        <v>0</v>
      </c>
      <c r="N171" s="5">
        <v>-72531.840000000186</v>
      </c>
      <c r="O171" s="14">
        <f t="shared" si="19"/>
        <v>-72531.840000000186</v>
      </c>
      <c r="P171" s="15" t="e">
        <f t="shared" si="20"/>
        <v>#DIV/0!</v>
      </c>
      <c r="Q171" s="16" t="e">
        <f t="shared" si="21"/>
        <v>#DIV/0!</v>
      </c>
      <c r="U171" s="14"/>
    </row>
    <row r="172" spans="1:21" x14ac:dyDescent="0.25">
      <c r="A172" s="7">
        <v>3146</v>
      </c>
      <c r="B172" s="126" t="s">
        <v>209</v>
      </c>
      <c r="C172" s="4">
        <f t="shared" si="17"/>
        <v>71897.795999999988</v>
      </c>
      <c r="D172" s="6">
        <v>1</v>
      </c>
      <c r="E172" s="82">
        <f t="shared" si="16"/>
        <v>0.12</v>
      </c>
      <c r="F172" s="128">
        <v>524707.69999999995</v>
      </c>
      <c r="G172" s="128">
        <v>0</v>
      </c>
      <c r="H172" s="128">
        <v>26519.599999999999</v>
      </c>
      <c r="I172" s="128">
        <v>10360</v>
      </c>
      <c r="J172" s="128">
        <v>31531</v>
      </c>
      <c r="K172" s="128">
        <v>6030</v>
      </c>
      <c r="L172" s="5">
        <f t="shared" si="18"/>
        <v>599148.29999999993</v>
      </c>
      <c r="M172" s="2">
        <f>Form!$E$5</f>
        <v>0</v>
      </c>
      <c r="N172" s="5">
        <v>-39841</v>
      </c>
      <c r="O172" s="14">
        <f t="shared" si="19"/>
        <v>-39841</v>
      </c>
      <c r="P172" s="15" t="e">
        <f t="shared" si="20"/>
        <v>#DIV/0!</v>
      </c>
      <c r="Q172" s="16" t="e">
        <f t="shared" si="21"/>
        <v>#DIV/0!</v>
      </c>
      <c r="U172" s="14"/>
    </row>
    <row r="173" spans="1:21" x14ac:dyDescent="0.25">
      <c r="A173" s="7">
        <v>3149</v>
      </c>
      <c r="B173" s="126" t="s">
        <v>210</v>
      </c>
      <c r="C173" s="4">
        <f t="shared" si="17"/>
        <v>161579.95919999998</v>
      </c>
      <c r="D173" s="6">
        <v>1</v>
      </c>
      <c r="E173" s="82">
        <f t="shared" si="16"/>
        <v>0.12</v>
      </c>
      <c r="F173" s="128">
        <v>1078945.98</v>
      </c>
      <c r="G173" s="128">
        <v>0</v>
      </c>
      <c r="H173" s="128">
        <v>130968.68</v>
      </c>
      <c r="I173" s="128">
        <v>60520.000000000015</v>
      </c>
      <c r="J173" s="128">
        <v>56729</v>
      </c>
      <c r="K173" s="128">
        <v>19336</v>
      </c>
      <c r="L173" s="5">
        <f t="shared" si="18"/>
        <v>1346499.66</v>
      </c>
      <c r="M173" s="2">
        <f>Form!$E$5</f>
        <v>0</v>
      </c>
      <c r="N173" s="5">
        <v>-61115.569999999978</v>
      </c>
      <c r="O173" s="14">
        <f t="shared" si="19"/>
        <v>-61115.569999999978</v>
      </c>
      <c r="P173" s="15" t="e">
        <f t="shared" si="20"/>
        <v>#DIV/0!</v>
      </c>
      <c r="Q173" s="16" t="e">
        <f t="shared" si="21"/>
        <v>#DIV/0!</v>
      </c>
      <c r="U173" s="14"/>
    </row>
    <row r="174" spans="1:21" x14ac:dyDescent="0.25">
      <c r="A174" s="7">
        <v>3150</v>
      </c>
      <c r="B174" s="126" t="s">
        <v>211</v>
      </c>
      <c r="C174" s="4">
        <f t="shared" si="17"/>
        <v>118331.3952</v>
      </c>
      <c r="D174" s="6">
        <v>1</v>
      </c>
      <c r="E174" s="82">
        <f t="shared" si="16"/>
        <v>0.12</v>
      </c>
      <c r="F174" s="128">
        <v>810496.43</v>
      </c>
      <c r="G174" s="128">
        <v>0</v>
      </c>
      <c r="H174" s="128">
        <v>74913.160000000018</v>
      </c>
      <c r="I174" s="128">
        <v>73299.37000000001</v>
      </c>
      <c r="J174" s="128">
        <v>26346</v>
      </c>
      <c r="K174" s="128">
        <v>1040</v>
      </c>
      <c r="L174" s="5">
        <f t="shared" si="18"/>
        <v>986094.96000000008</v>
      </c>
      <c r="M174" s="2">
        <f>Form!$E$5</f>
        <v>0</v>
      </c>
      <c r="N174" s="5">
        <v>-25917.780000000079</v>
      </c>
      <c r="O174" s="14">
        <f t="shared" si="19"/>
        <v>-25917.780000000079</v>
      </c>
      <c r="P174" s="15" t="e">
        <f t="shared" si="20"/>
        <v>#DIV/0!</v>
      </c>
      <c r="Q174" s="16" t="e">
        <f t="shared" si="21"/>
        <v>#DIV/0!</v>
      </c>
      <c r="U174" s="14"/>
    </row>
    <row r="175" spans="1:21" x14ac:dyDescent="0.25">
      <c r="A175" s="7">
        <v>3153</v>
      </c>
      <c r="B175" s="126" t="s">
        <v>212</v>
      </c>
      <c r="C175" s="4">
        <f t="shared" si="17"/>
        <v>82695.060000000012</v>
      </c>
      <c r="D175" s="6">
        <v>1</v>
      </c>
      <c r="E175" s="82">
        <f t="shared" si="16"/>
        <v>0.12</v>
      </c>
      <c r="F175" s="128">
        <v>583478.24000000011</v>
      </c>
      <c r="G175" s="128">
        <v>0</v>
      </c>
      <c r="H175" s="128">
        <v>48770.259999999987</v>
      </c>
      <c r="I175" s="128">
        <v>20730</v>
      </c>
      <c r="J175" s="128">
        <v>35638</v>
      </c>
      <c r="K175" s="128">
        <v>509</v>
      </c>
      <c r="L175" s="5">
        <f t="shared" si="18"/>
        <v>689125.50000000012</v>
      </c>
      <c r="M175" s="2">
        <f>Form!$E$5</f>
        <v>0</v>
      </c>
      <c r="N175" s="5">
        <v>-41882.940000000031</v>
      </c>
      <c r="O175" s="14">
        <f t="shared" si="19"/>
        <v>-41882.940000000031</v>
      </c>
      <c r="P175" s="15" t="e">
        <f t="shared" si="20"/>
        <v>#DIV/0!</v>
      </c>
      <c r="Q175" s="16" t="e">
        <f t="shared" si="21"/>
        <v>#DIV/0!</v>
      </c>
      <c r="U175" s="14"/>
    </row>
    <row r="176" spans="1:21" x14ac:dyDescent="0.25">
      <c r="A176" s="7">
        <v>3154</v>
      </c>
      <c r="B176" s="126" t="s">
        <v>213</v>
      </c>
      <c r="C176" s="4">
        <f t="shared" si="17"/>
        <v>124675.26839999999</v>
      </c>
      <c r="D176" s="6">
        <v>1</v>
      </c>
      <c r="E176" s="82">
        <f t="shared" si="16"/>
        <v>0.12</v>
      </c>
      <c r="F176" s="128">
        <v>910524.08</v>
      </c>
      <c r="G176" s="128">
        <v>0</v>
      </c>
      <c r="H176" s="128">
        <v>24876.490000000005</v>
      </c>
      <c r="I176" s="128">
        <v>26650</v>
      </c>
      <c r="J176" s="128">
        <v>48750</v>
      </c>
      <c r="K176" s="128">
        <v>28160</v>
      </c>
      <c r="L176" s="5">
        <f t="shared" si="18"/>
        <v>1038960.57</v>
      </c>
      <c r="M176" s="2">
        <f>Form!$E$5</f>
        <v>0</v>
      </c>
      <c r="N176" s="5">
        <v>-107991.20000000004</v>
      </c>
      <c r="O176" s="14">
        <f t="shared" si="19"/>
        <v>-107991.20000000004</v>
      </c>
      <c r="P176" s="15" t="e">
        <f t="shared" si="20"/>
        <v>#DIV/0!</v>
      </c>
      <c r="Q176" s="16" t="e">
        <f t="shared" si="21"/>
        <v>#DIV/0!</v>
      </c>
      <c r="U176" s="14"/>
    </row>
    <row r="177" spans="1:21" x14ac:dyDescent="0.25">
      <c r="A177" s="7">
        <v>3155</v>
      </c>
      <c r="B177" s="126" t="s">
        <v>214</v>
      </c>
      <c r="C177" s="4">
        <f t="shared" si="17"/>
        <v>139067.18519999998</v>
      </c>
      <c r="D177" s="6">
        <v>1</v>
      </c>
      <c r="E177" s="82">
        <f t="shared" si="16"/>
        <v>0.12</v>
      </c>
      <c r="F177" s="128">
        <v>995482.05999999982</v>
      </c>
      <c r="G177" s="128">
        <v>0</v>
      </c>
      <c r="H177" s="128">
        <v>36763.149999999994</v>
      </c>
      <c r="I177" s="128">
        <v>23170</v>
      </c>
      <c r="J177" s="128">
        <v>57654</v>
      </c>
      <c r="K177" s="128">
        <v>45824</v>
      </c>
      <c r="L177" s="5">
        <f t="shared" si="18"/>
        <v>1158893.21</v>
      </c>
      <c r="M177" s="2">
        <f>Form!$E$5</f>
        <v>0</v>
      </c>
      <c r="N177" s="5">
        <v>-82094.969999999827</v>
      </c>
      <c r="O177" s="14">
        <f t="shared" si="19"/>
        <v>-82094.969999999827</v>
      </c>
      <c r="P177" s="15" t="e">
        <f t="shared" si="20"/>
        <v>#DIV/0!</v>
      </c>
      <c r="Q177" s="16" t="e">
        <f t="shared" si="21"/>
        <v>#DIV/0!</v>
      </c>
      <c r="U177" s="14"/>
    </row>
    <row r="178" spans="1:21" x14ac:dyDescent="0.25">
      <c r="A178" s="7">
        <v>3158</v>
      </c>
      <c r="B178" s="126" t="s">
        <v>215</v>
      </c>
      <c r="C178" s="4">
        <f t="shared" si="17"/>
        <v>85435.450799999991</v>
      </c>
      <c r="D178" s="6">
        <v>1</v>
      </c>
      <c r="E178" s="82">
        <f t="shared" si="16"/>
        <v>0.12</v>
      </c>
      <c r="F178" s="128">
        <v>557086.99</v>
      </c>
      <c r="G178" s="128">
        <v>0</v>
      </c>
      <c r="H178" s="128">
        <v>95201.1</v>
      </c>
      <c r="I178" s="128">
        <v>16280</v>
      </c>
      <c r="J178" s="128">
        <v>29297</v>
      </c>
      <c r="K178" s="128">
        <v>14097</v>
      </c>
      <c r="L178" s="5">
        <f t="shared" si="18"/>
        <v>711962.09</v>
      </c>
      <c r="M178" s="2">
        <f>Form!$E$5</f>
        <v>0</v>
      </c>
      <c r="N178" s="5">
        <v>-85252.999999999927</v>
      </c>
      <c r="O178" s="14">
        <f t="shared" si="19"/>
        <v>-85252.999999999927</v>
      </c>
      <c r="P178" s="15" t="e">
        <f t="shared" si="20"/>
        <v>#DIV/0!</v>
      </c>
      <c r="Q178" s="16" t="e">
        <f t="shared" si="21"/>
        <v>#DIV/0!</v>
      </c>
      <c r="U178" s="14"/>
    </row>
    <row r="179" spans="1:21" x14ac:dyDescent="0.25">
      <c r="A179" s="7">
        <v>3159</v>
      </c>
      <c r="B179" s="126" t="s">
        <v>216</v>
      </c>
      <c r="C179" s="4">
        <f t="shared" si="17"/>
        <v>88813.994399999981</v>
      </c>
      <c r="D179" s="6">
        <v>1</v>
      </c>
      <c r="E179" s="82">
        <f t="shared" si="16"/>
        <v>0.12</v>
      </c>
      <c r="F179" s="128">
        <v>603125.83999999985</v>
      </c>
      <c r="G179" s="128">
        <v>0</v>
      </c>
      <c r="H179" s="128">
        <v>66550.780000000013</v>
      </c>
      <c r="I179" s="128">
        <v>19550</v>
      </c>
      <c r="J179" s="128">
        <v>36918</v>
      </c>
      <c r="K179" s="128">
        <v>13972</v>
      </c>
      <c r="L179" s="5">
        <f t="shared" si="18"/>
        <v>740116.61999999988</v>
      </c>
      <c r="M179" s="2">
        <f>Form!$E$5</f>
        <v>0</v>
      </c>
      <c r="N179" s="5">
        <v>-33590.450000000201</v>
      </c>
      <c r="O179" s="14">
        <f t="shared" si="19"/>
        <v>-33590.450000000201</v>
      </c>
      <c r="P179" s="15" t="e">
        <f t="shared" si="20"/>
        <v>#DIV/0!</v>
      </c>
      <c r="Q179" s="16" t="e">
        <f t="shared" si="21"/>
        <v>#DIV/0!</v>
      </c>
      <c r="U179" s="14"/>
    </row>
    <row r="180" spans="1:21" x14ac:dyDescent="0.25">
      <c r="A180" s="7">
        <v>3160</v>
      </c>
      <c r="B180" s="126" t="s">
        <v>217</v>
      </c>
      <c r="C180" s="4">
        <f t="shared" si="17"/>
        <v>81579.577199999985</v>
      </c>
      <c r="D180" s="6">
        <v>1</v>
      </c>
      <c r="E180" s="82">
        <f t="shared" ref="E180:E242" si="22">IF(D180=1,0.12,IF(D180=4,0.085,0.075))</f>
        <v>0.12</v>
      </c>
      <c r="F180" s="128">
        <v>599658.02999999991</v>
      </c>
      <c r="G180" s="128">
        <v>0</v>
      </c>
      <c r="H180" s="128">
        <v>13097.780000000002</v>
      </c>
      <c r="I180" s="128">
        <v>18850</v>
      </c>
      <c r="J180" s="128">
        <v>37246</v>
      </c>
      <c r="K180" s="128">
        <v>10978</v>
      </c>
      <c r="L180" s="5">
        <f t="shared" si="18"/>
        <v>679829.80999999994</v>
      </c>
      <c r="M180" s="2">
        <f>Form!$E$5</f>
        <v>0</v>
      </c>
      <c r="N180" s="5">
        <v>-55178.559999999983</v>
      </c>
      <c r="O180" s="14">
        <f t="shared" si="19"/>
        <v>-55178.559999999983</v>
      </c>
      <c r="P180" s="15" t="e">
        <f t="shared" si="20"/>
        <v>#DIV/0!</v>
      </c>
      <c r="Q180" s="16" t="e">
        <f t="shared" si="21"/>
        <v>#DIV/0!</v>
      </c>
      <c r="U180" s="14"/>
    </row>
    <row r="181" spans="1:21" x14ac:dyDescent="0.25">
      <c r="A181" s="7">
        <v>3167</v>
      </c>
      <c r="B181" s="126" t="s">
        <v>218</v>
      </c>
      <c r="C181" s="4">
        <f t="shared" ref="C181:C242" si="23">IF(D181=1,L181*0.12,IF(D181=3,L181*0.085,L181*0.075))</f>
        <v>141986.78759999998</v>
      </c>
      <c r="D181" s="6">
        <v>1</v>
      </c>
      <c r="E181" s="82">
        <f t="shared" si="22"/>
        <v>0.12</v>
      </c>
      <c r="F181" s="128">
        <v>964999.04999999993</v>
      </c>
      <c r="G181" s="128">
        <v>0</v>
      </c>
      <c r="H181" s="128">
        <v>75805.180000000008</v>
      </c>
      <c r="I181" s="128">
        <v>88020</v>
      </c>
      <c r="J181" s="128">
        <v>36934</v>
      </c>
      <c r="K181" s="128">
        <v>17465</v>
      </c>
      <c r="L181" s="5">
        <f t="shared" si="18"/>
        <v>1183223.23</v>
      </c>
      <c r="M181" s="2">
        <f>Form!$E$5</f>
        <v>0</v>
      </c>
      <c r="N181" s="5">
        <v>-53554.430000000226</v>
      </c>
      <c r="O181" s="14">
        <f t="shared" si="19"/>
        <v>-53554.430000000226</v>
      </c>
      <c r="P181" s="15" t="e">
        <f t="shared" si="20"/>
        <v>#DIV/0!</v>
      </c>
      <c r="Q181" s="16" t="e">
        <f t="shared" si="21"/>
        <v>#DIV/0!</v>
      </c>
      <c r="U181" s="14"/>
    </row>
    <row r="182" spans="1:21" x14ac:dyDescent="0.25">
      <c r="A182" s="7">
        <v>3168</v>
      </c>
      <c r="B182" s="126" t="s">
        <v>219</v>
      </c>
      <c r="C182" s="4">
        <f t="shared" si="23"/>
        <v>77662.543199999986</v>
      </c>
      <c r="D182" s="6">
        <v>1</v>
      </c>
      <c r="E182" s="82">
        <f t="shared" si="22"/>
        <v>0.12</v>
      </c>
      <c r="F182" s="128">
        <v>494835.43999999989</v>
      </c>
      <c r="G182" s="128">
        <v>0</v>
      </c>
      <c r="H182" s="128">
        <v>113323.42000000001</v>
      </c>
      <c r="I182" s="128">
        <v>8880</v>
      </c>
      <c r="J182" s="128">
        <v>26706</v>
      </c>
      <c r="K182" s="128">
        <v>3443</v>
      </c>
      <c r="L182" s="5">
        <f t="shared" si="18"/>
        <v>647187.85999999987</v>
      </c>
      <c r="M182" s="2">
        <f>Form!$E$5</f>
        <v>0</v>
      </c>
      <c r="N182" s="5">
        <v>-5331.6200000000536</v>
      </c>
      <c r="O182" s="14">
        <f t="shared" si="19"/>
        <v>-5331.6200000000536</v>
      </c>
      <c r="P182" s="15" t="e">
        <f t="shared" si="20"/>
        <v>#DIV/0!</v>
      </c>
      <c r="Q182" s="16" t="str">
        <f t="shared" si="21"/>
        <v>Within Tolerance</v>
      </c>
      <c r="U182" s="14"/>
    </row>
    <row r="183" spans="1:21" x14ac:dyDescent="0.25">
      <c r="A183" s="7">
        <v>3169</v>
      </c>
      <c r="B183" s="126" t="s">
        <v>220</v>
      </c>
      <c r="C183" s="4">
        <f t="shared" si="23"/>
        <v>117298.8168</v>
      </c>
      <c r="D183" s="6">
        <v>1</v>
      </c>
      <c r="E183" s="82">
        <f t="shared" si="22"/>
        <v>0.12</v>
      </c>
      <c r="F183" s="128">
        <v>799707.06</v>
      </c>
      <c r="G183" s="128">
        <v>0</v>
      </c>
      <c r="H183" s="128">
        <v>53132.08</v>
      </c>
      <c r="I183" s="128">
        <v>60680.000000000007</v>
      </c>
      <c r="J183" s="128">
        <v>44510</v>
      </c>
      <c r="K183" s="128">
        <v>19461</v>
      </c>
      <c r="L183" s="5">
        <f t="shared" si="18"/>
        <v>977490.14</v>
      </c>
      <c r="M183" s="2">
        <f>Form!$E$5</f>
        <v>0</v>
      </c>
      <c r="N183" s="5">
        <v>-23214.169999999765</v>
      </c>
      <c r="O183" s="14">
        <f t="shared" si="19"/>
        <v>-23214.169999999765</v>
      </c>
      <c r="P183" s="15" t="e">
        <f t="shared" si="20"/>
        <v>#DIV/0!</v>
      </c>
      <c r="Q183" s="16" t="e">
        <f t="shared" si="21"/>
        <v>#DIV/0!</v>
      </c>
      <c r="U183" s="14"/>
    </row>
    <row r="184" spans="1:21" x14ac:dyDescent="0.25">
      <c r="A184" s="7">
        <v>3171</v>
      </c>
      <c r="B184" s="126" t="s">
        <v>221</v>
      </c>
      <c r="C184" s="4">
        <f t="shared" si="23"/>
        <v>57251.860799999995</v>
      </c>
      <c r="D184" s="6">
        <v>1</v>
      </c>
      <c r="E184" s="82">
        <f t="shared" si="22"/>
        <v>0.12</v>
      </c>
      <c r="F184" s="128">
        <v>362484.14999999997</v>
      </c>
      <c r="G184" s="128">
        <v>0</v>
      </c>
      <c r="H184" s="128">
        <v>49398.69</v>
      </c>
      <c r="I184" s="128">
        <v>32560.000000000007</v>
      </c>
      <c r="J184" s="128">
        <v>23050</v>
      </c>
      <c r="K184" s="128">
        <v>9606</v>
      </c>
      <c r="L184" s="5">
        <f t="shared" si="18"/>
        <v>477098.83999999997</v>
      </c>
      <c r="M184" s="2">
        <f>Form!$E$5</f>
        <v>0</v>
      </c>
      <c r="N184" s="5">
        <v>-52545.490000000296</v>
      </c>
      <c r="O184" s="14">
        <f t="shared" si="19"/>
        <v>-52545.490000000296</v>
      </c>
      <c r="P184" s="15" t="e">
        <f t="shared" si="20"/>
        <v>#DIV/0!</v>
      </c>
      <c r="Q184" s="16" t="e">
        <f t="shared" si="21"/>
        <v>#DIV/0!</v>
      </c>
      <c r="U184" s="14"/>
    </row>
    <row r="185" spans="1:21" x14ac:dyDescent="0.25">
      <c r="A185" s="7">
        <v>3175</v>
      </c>
      <c r="B185" s="126" t="s">
        <v>222</v>
      </c>
      <c r="C185" s="4">
        <f t="shared" si="23"/>
        <v>149397.378</v>
      </c>
      <c r="D185" s="6">
        <v>1</v>
      </c>
      <c r="E185" s="82">
        <f t="shared" si="22"/>
        <v>0.12</v>
      </c>
      <c r="F185" s="128">
        <v>1019401.3900000002</v>
      </c>
      <c r="G185" s="128">
        <v>0</v>
      </c>
      <c r="H185" s="128">
        <v>97047.76</v>
      </c>
      <c r="I185" s="128">
        <v>55310</v>
      </c>
      <c r="J185" s="128">
        <v>46083</v>
      </c>
      <c r="K185" s="128">
        <v>27136</v>
      </c>
      <c r="L185" s="5">
        <f t="shared" si="18"/>
        <v>1244978.1500000001</v>
      </c>
      <c r="M185" s="2">
        <f>Form!$E$5</f>
        <v>0</v>
      </c>
      <c r="N185" s="5">
        <v>-84362.309999999503</v>
      </c>
      <c r="O185" s="14">
        <f t="shared" si="19"/>
        <v>-84362.309999999503</v>
      </c>
      <c r="P185" s="15" t="e">
        <f t="shared" si="20"/>
        <v>#DIV/0!</v>
      </c>
      <c r="Q185" s="16" t="e">
        <f t="shared" si="21"/>
        <v>#DIV/0!</v>
      </c>
      <c r="U185" s="14"/>
    </row>
    <row r="186" spans="1:21" x14ac:dyDescent="0.25">
      <c r="A186" s="7">
        <v>3178</v>
      </c>
      <c r="B186" s="126" t="s">
        <v>223</v>
      </c>
      <c r="C186" s="4">
        <f t="shared" si="23"/>
        <v>315787.93319999997</v>
      </c>
      <c r="D186" s="6">
        <v>1</v>
      </c>
      <c r="E186" s="82">
        <f t="shared" si="22"/>
        <v>0.12</v>
      </c>
      <c r="F186" s="128">
        <v>2161763.5299999998</v>
      </c>
      <c r="G186" s="128">
        <v>0</v>
      </c>
      <c r="H186" s="128">
        <v>129020.57999999997</v>
      </c>
      <c r="I186" s="128">
        <v>200030</v>
      </c>
      <c r="J186" s="128">
        <v>73680</v>
      </c>
      <c r="K186" s="128">
        <v>67072</v>
      </c>
      <c r="L186" s="5">
        <f t="shared" si="18"/>
        <v>2631566.11</v>
      </c>
      <c r="M186" s="2">
        <f>Form!$E$5</f>
        <v>0</v>
      </c>
      <c r="N186" s="5">
        <v>-269949.15000000119</v>
      </c>
      <c r="O186" s="14">
        <f t="shared" si="19"/>
        <v>-269949.15000000119</v>
      </c>
      <c r="P186" s="15" t="e">
        <f t="shared" si="20"/>
        <v>#DIV/0!</v>
      </c>
      <c r="Q186" s="16" t="e">
        <f t="shared" si="21"/>
        <v>#DIV/0!</v>
      </c>
      <c r="U186" s="14"/>
    </row>
    <row r="187" spans="1:21" x14ac:dyDescent="0.25">
      <c r="A187" s="7">
        <v>3179</v>
      </c>
      <c r="B187" s="126" t="s">
        <v>224</v>
      </c>
      <c r="C187" s="4">
        <f t="shared" si="23"/>
        <v>405815.49119999993</v>
      </c>
      <c r="D187" s="6">
        <v>1</v>
      </c>
      <c r="E187" s="82">
        <f t="shared" si="22"/>
        <v>0.12</v>
      </c>
      <c r="F187" s="128">
        <v>2604847.9699999997</v>
      </c>
      <c r="G187" s="128">
        <v>0</v>
      </c>
      <c r="H187" s="128">
        <v>360334.78999999992</v>
      </c>
      <c r="I187" s="128">
        <v>337300.00000000006</v>
      </c>
      <c r="J187" s="128">
        <v>47825</v>
      </c>
      <c r="K187" s="128">
        <v>31488</v>
      </c>
      <c r="L187" s="5">
        <f t="shared" si="18"/>
        <v>3381795.76</v>
      </c>
      <c r="M187" s="2">
        <f>Form!$E$5</f>
        <v>0</v>
      </c>
      <c r="N187" s="5">
        <v>-40818.65999999897</v>
      </c>
      <c r="O187" s="14">
        <f t="shared" si="19"/>
        <v>-40818.65999999897</v>
      </c>
      <c r="P187" s="15" t="e">
        <f t="shared" si="20"/>
        <v>#DIV/0!</v>
      </c>
      <c r="Q187" s="16" t="e">
        <f t="shared" si="21"/>
        <v>#DIV/0!</v>
      </c>
      <c r="U187" s="14"/>
    </row>
    <row r="188" spans="1:21" x14ac:dyDescent="0.25">
      <c r="A188" s="7">
        <v>3181</v>
      </c>
      <c r="B188" s="126" t="s">
        <v>225</v>
      </c>
      <c r="C188" s="4">
        <f t="shared" si="23"/>
        <v>259701.54119999998</v>
      </c>
      <c r="D188" s="6">
        <v>1</v>
      </c>
      <c r="E188" s="82">
        <f t="shared" si="22"/>
        <v>0.12</v>
      </c>
      <c r="F188" s="128">
        <v>1876090.6099999996</v>
      </c>
      <c r="G188" s="128">
        <v>0</v>
      </c>
      <c r="H188" s="128">
        <v>10923.900000000001</v>
      </c>
      <c r="I188" s="128">
        <v>208240.00000000006</v>
      </c>
      <c r="J188" s="128">
        <v>19773</v>
      </c>
      <c r="K188" s="128">
        <v>49152</v>
      </c>
      <c r="L188" s="5">
        <f t="shared" si="18"/>
        <v>2164179.5099999998</v>
      </c>
      <c r="M188" s="2">
        <f>Form!$E$5</f>
        <v>0</v>
      </c>
      <c r="N188" s="5">
        <v>-203321.10999999996</v>
      </c>
      <c r="O188" s="14">
        <f t="shared" si="19"/>
        <v>-203321.10999999996</v>
      </c>
      <c r="P188" s="15" t="e">
        <f t="shared" si="20"/>
        <v>#DIV/0!</v>
      </c>
      <c r="Q188" s="16" t="e">
        <f t="shared" si="21"/>
        <v>#DIV/0!</v>
      </c>
      <c r="U188" s="14"/>
    </row>
    <row r="189" spans="1:21" x14ac:dyDescent="0.25">
      <c r="A189" s="7">
        <v>3182</v>
      </c>
      <c r="B189" s="126" t="s">
        <v>226</v>
      </c>
      <c r="C189" s="4">
        <f t="shared" si="23"/>
        <v>269752.7675999999</v>
      </c>
      <c r="D189" s="6">
        <v>1</v>
      </c>
      <c r="E189" s="82">
        <f t="shared" si="22"/>
        <v>0.12</v>
      </c>
      <c r="F189" s="128">
        <v>1852399.2799999996</v>
      </c>
      <c r="G189" s="128">
        <v>0</v>
      </c>
      <c r="H189" s="128">
        <v>144743.45000000001</v>
      </c>
      <c r="I189" s="128">
        <v>139020</v>
      </c>
      <c r="J189" s="128">
        <v>76705</v>
      </c>
      <c r="K189" s="128">
        <v>35072</v>
      </c>
      <c r="L189" s="5">
        <f t="shared" si="18"/>
        <v>2247939.7299999995</v>
      </c>
      <c r="M189" s="2">
        <f>Form!$E$5</f>
        <v>0</v>
      </c>
      <c r="N189" s="5">
        <v>-76957.300000002026</v>
      </c>
      <c r="O189" s="14">
        <f t="shared" si="19"/>
        <v>-76957.300000002026</v>
      </c>
      <c r="P189" s="15" t="e">
        <f t="shared" si="20"/>
        <v>#DIV/0!</v>
      </c>
      <c r="Q189" s="16" t="e">
        <f t="shared" si="21"/>
        <v>#DIV/0!</v>
      </c>
      <c r="U189" s="14"/>
    </row>
    <row r="190" spans="1:21" x14ac:dyDescent="0.25">
      <c r="A190" s="7">
        <v>3183</v>
      </c>
      <c r="B190" s="126" t="s">
        <v>227</v>
      </c>
      <c r="C190" s="4">
        <f t="shared" si="23"/>
        <v>93929.332800000004</v>
      </c>
      <c r="D190" s="6">
        <v>1</v>
      </c>
      <c r="E190" s="82">
        <f t="shared" si="22"/>
        <v>0.12</v>
      </c>
      <c r="F190" s="128">
        <v>632329.18000000005</v>
      </c>
      <c r="G190" s="128">
        <v>0</v>
      </c>
      <c r="H190" s="128">
        <v>52943.260000000009</v>
      </c>
      <c r="I190" s="128">
        <v>48450.000000000007</v>
      </c>
      <c r="J190" s="128">
        <v>29935</v>
      </c>
      <c r="K190" s="128">
        <v>19087</v>
      </c>
      <c r="L190" s="5">
        <f t="shared" si="18"/>
        <v>782744.44000000006</v>
      </c>
      <c r="M190" s="2">
        <f>Form!$E$5</f>
        <v>0</v>
      </c>
      <c r="N190" s="5">
        <v>-88593.340000000244</v>
      </c>
      <c r="O190" s="14">
        <f t="shared" si="19"/>
        <v>-88593.340000000244</v>
      </c>
      <c r="P190" s="15" t="e">
        <f t="shared" si="20"/>
        <v>#DIV/0!</v>
      </c>
      <c r="Q190" s="16" t="e">
        <f t="shared" si="21"/>
        <v>#DIV/0!</v>
      </c>
      <c r="U190" s="14"/>
    </row>
    <row r="191" spans="1:21" x14ac:dyDescent="0.25">
      <c r="A191" s="7">
        <v>3186</v>
      </c>
      <c r="B191" s="126" t="s">
        <v>228</v>
      </c>
      <c r="C191" s="4">
        <f t="shared" si="23"/>
        <v>148827.38399999999</v>
      </c>
      <c r="D191" s="6">
        <v>1</v>
      </c>
      <c r="E191" s="82">
        <f t="shared" si="22"/>
        <v>0.12</v>
      </c>
      <c r="F191" s="128">
        <v>1065058.74</v>
      </c>
      <c r="G191" s="128">
        <v>0</v>
      </c>
      <c r="H191" s="128">
        <v>51613.459999999992</v>
      </c>
      <c r="I191" s="128">
        <v>64630.000000000007</v>
      </c>
      <c r="J191" s="128">
        <v>45453</v>
      </c>
      <c r="K191" s="128">
        <v>13473</v>
      </c>
      <c r="L191" s="5">
        <f t="shared" si="18"/>
        <v>1240228.2</v>
      </c>
      <c r="M191" s="2">
        <f>Form!$E$5</f>
        <v>0</v>
      </c>
      <c r="N191" s="5">
        <v>-89047.84</v>
      </c>
      <c r="O191" s="14">
        <f t="shared" si="19"/>
        <v>-89047.84</v>
      </c>
      <c r="P191" s="15" t="e">
        <f t="shared" si="20"/>
        <v>#DIV/0!</v>
      </c>
      <c r="Q191" s="16" t="e">
        <f t="shared" si="21"/>
        <v>#DIV/0!</v>
      </c>
      <c r="U191" s="14"/>
    </row>
    <row r="192" spans="1:21" x14ac:dyDescent="0.25">
      <c r="A192" s="7">
        <v>3198</v>
      </c>
      <c r="B192" s="126" t="s">
        <v>229</v>
      </c>
      <c r="C192" s="4">
        <f t="shared" si="23"/>
        <v>90455.933999999994</v>
      </c>
      <c r="D192" s="6">
        <v>1</v>
      </c>
      <c r="E192" s="82">
        <f t="shared" si="22"/>
        <v>0.12</v>
      </c>
      <c r="F192" s="128">
        <v>616154.82999999996</v>
      </c>
      <c r="G192" s="128">
        <v>0</v>
      </c>
      <c r="H192" s="128">
        <v>64897.619999999995</v>
      </c>
      <c r="I192" s="128">
        <v>29210</v>
      </c>
      <c r="J192" s="128">
        <v>30563</v>
      </c>
      <c r="K192" s="128">
        <v>12974</v>
      </c>
      <c r="L192" s="5">
        <f t="shared" si="18"/>
        <v>753799.45</v>
      </c>
      <c r="M192" s="2">
        <f>Form!$E$5</f>
        <v>0</v>
      </c>
      <c r="N192" s="5">
        <v>-71794.920000000158</v>
      </c>
      <c r="O192" s="14">
        <f t="shared" si="19"/>
        <v>-71794.920000000158</v>
      </c>
      <c r="P192" s="15" t="e">
        <f t="shared" si="20"/>
        <v>#DIV/0!</v>
      </c>
      <c r="Q192" s="16" t="e">
        <f t="shared" si="21"/>
        <v>#DIV/0!</v>
      </c>
      <c r="U192" s="14"/>
    </row>
    <row r="193" spans="1:21" x14ac:dyDescent="0.25">
      <c r="A193" s="7">
        <v>3199</v>
      </c>
      <c r="B193" s="126" t="s">
        <v>230</v>
      </c>
      <c r="C193" s="4">
        <f t="shared" si="23"/>
        <v>133189.5828</v>
      </c>
      <c r="D193" s="6">
        <v>1</v>
      </c>
      <c r="E193" s="82">
        <f t="shared" si="22"/>
        <v>0.12</v>
      </c>
      <c r="F193" s="128">
        <v>946647.43000000017</v>
      </c>
      <c r="G193" s="128">
        <v>0</v>
      </c>
      <c r="H193" s="128">
        <v>53462.760000000009</v>
      </c>
      <c r="I193" s="128">
        <v>59120</v>
      </c>
      <c r="J193" s="128">
        <v>39580</v>
      </c>
      <c r="K193" s="128">
        <v>11103</v>
      </c>
      <c r="L193" s="5">
        <f t="shared" si="18"/>
        <v>1109913.1900000002</v>
      </c>
      <c r="M193" s="2">
        <f>Form!$E$5</f>
        <v>0</v>
      </c>
      <c r="N193" s="5">
        <v>-124263.29</v>
      </c>
      <c r="O193" s="14">
        <f t="shared" si="19"/>
        <v>-124263.29</v>
      </c>
      <c r="P193" s="15" t="e">
        <f t="shared" si="20"/>
        <v>#DIV/0!</v>
      </c>
      <c r="Q193" s="16" t="e">
        <f t="shared" si="21"/>
        <v>#DIV/0!</v>
      </c>
      <c r="U193" s="14"/>
    </row>
    <row r="194" spans="1:21" x14ac:dyDescent="0.25">
      <c r="A194" s="7">
        <v>3201</v>
      </c>
      <c r="B194" s="126" t="s">
        <v>231</v>
      </c>
      <c r="C194" s="4">
        <f t="shared" si="23"/>
        <v>71999.754000000001</v>
      </c>
      <c r="D194" s="6">
        <v>1</v>
      </c>
      <c r="E194" s="82">
        <f t="shared" si="22"/>
        <v>0.12</v>
      </c>
      <c r="F194" s="128">
        <v>527640.55000000005</v>
      </c>
      <c r="G194" s="128">
        <v>0</v>
      </c>
      <c r="H194" s="128">
        <v>26819.400000000009</v>
      </c>
      <c r="I194" s="128">
        <v>7399.9999999999991</v>
      </c>
      <c r="J194" s="128">
        <v>31277</v>
      </c>
      <c r="K194" s="128">
        <v>6861</v>
      </c>
      <c r="L194" s="5">
        <f t="shared" si="18"/>
        <v>599997.95000000007</v>
      </c>
      <c r="M194" s="2">
        <f>Form!$E$5</f>
        <v>0</v>
      </c>
      <c r="N194" s="5">
        <v>-46412.020000000019</v>
      </c>
      <c r="O194" s="14">
        <f t="shared" si="19"/>
        <v>-46412.020000000019</v>
      </c>
      <c r="P194" s="15" t="e">
        <f t="shared" si="20"/>
        <v>#DIV/0!</v>
      </c>
      <c r="Q194" s="16" t="e">
        <f t="shared" si="21"/>
        <v>#DIV/0!</v>
      </c>
      <c r="U194" s="14"/>
    </row>
    <row r="195" spans="1:21" x14ac:dyDescent="0.25">
      <c r="A195" s="7">
        <v>3282</v>
      </c>
      <c r="B195" s="126" t="s">
        <v>232</v>
      </c>
      <c r="C195" s="4">
        <f t="shared" si="23"/>
        <v>148053.43559999994</v>
      </c>
      <c r="D195" s="6">
        <v>1</v>
      </c>
      <c r="E195" s="82">
        <f t="shared" si="22"/>
        <v>0.12</v>
      </c>
      <c r="F195" s="128">
        <v>1035431.1899999997</v>
      </c>
      <c r="G195" s="128">
        <v>0</v>
      </c>
      <c r="H195" s="128">
        <v>41919.44000000001</v>
      </c>
      <c r="I195" s="128">
        <v>82220</v>
      </c>
      <c r="J195" s="128">
        <v>55870</v>
      </c>
      <c r="K195" s="128">
        <v>18338</v>
      </c>
      <c r="L195" s="5">
        <f t="shared" si="18"/>
        <v>1233778.6299999997</v>
      </c>
      <c r="M195" s="2">
        <f>Form!$E$5</f>
        <v>0</v>
      </c>
      <c r="N195" s="5">
        <v>-38308.890000000109</v>
      </c>
      <c r="O195" s="14">
        <f t="shared" si="19"/>
        <v>-38308.890000000109</v>
      </c>
      <c r="P195" s="15" t="e">
        <f t="shared" si="20"/>
        <v>#DIV/0!</v>
      </c>
      <c r="Q195" s="16" t="e">
        <f t="shared" si="21"/>
        <v>#DIV/0!</v>
      </c>
      <c r="U195" s="14"/>
    </row>
    <row r="196" spans="1:21" x14ac:dyDescent="0.25">
      <c r="A196" s="7">
        <v>3284</v>
      </c>
      <c r="B196" s="126" t="s">
        <v>107</v>
      </c>
      <c r="C196" s="4">
        <f t="shared" si="23"/>
        <v>293251.11</v>
      </c>
      <c r="D196" s="6">
        <v>1</v>
      </c>
      <c r="E196" s="82">
        <f t="shared" si="22"/>
        <v>0.12</v>
      </c>
      <c r="F196" s="128">
        <v>2020972.71</v>
      </c>
      <c r="G196" s="128">
        <v>0</v>
      </c>
      <c r="H196" s="128">
        <v>219735.54</v>
      </c>
      <c r="I196" s="128">
        <v>84290</v>
      </c>
      <c r="J196" s="128">
        <v>76265</v>
      </c>
      <c r="K196" s="128">
        <v>42496</v>
      </c>
      <c r="L196" s="5">
        <f t="shared" si="18"/>
        <v>2443759.25</v>
      </c>
      <c r="M196" s="2">
        <f>Form!$E$5</f>
        <v>0</v>
      </c>
      <c r="N196" s="5">
        <v>-60356.140000000742</v>
      </c>
      <c r="O196" s="14">
        <f t="shared" si="19"/>
        <v>-60356.140000000742</v>
      </c>
      <c r="P196" s="15" t="e">
        <f t="shared" si="20"/>
        <v>#DIV/0!</v>
      </c>
      <c r="Q196" s="16" t="e">
        <f t="shared" si="21"/>
        <v>#DIV/0!</v>
      </c>
      <c r="U196" s="14"/>
    </row>
    <row r="197" spans="1:21" x14ac:dyDescent="0.25">
      <c r="A197" s="7">
        <v>3289</v>
      </c>
      <c r="B197" s="126" t="s">
        <v>233</v>
      </c>
      <c r="C197" s="4">
        <f t="shared" si="23"/>
        <v>167822.94479999997</v>
      </c>
      <c r="D197" s="6">
        <v>1</v>
      </c>
      <c r="E197" s="82">
        <f t="shared" si="22"/>
        <v>0.12</v>
      </c>
      <c r="F197" s="128">
        <v>1147774.3499999999</v>
      </c>
      <c r="G197" s="128">
        <v>0</v>
      </c>
      <c r="H197" s="128">
        <v>103326.18999999999</v>
      </c>
      <c r="I197" s="128">
        <v>79920</v>
      </c>
      <c r="J197" s="128">
        <v>48667</v>
      </c>
      <c r="K197" s="128">
        <v>18837</v>
      </c>
      <c r="L197" s="5">
        <f t="shared" si="18"/>
        <v>1398524.5399999998</v>
      </c>
      <c r="M197" s="2">
        <f>Form!$E$5</f>
        <v>0</v>
      </c>
      <c r="N197" s="5">
        <v>-154748.19999999998</v>
      </c>
      <c r="O197" s="14">
        <f t="shared" si="19"/>
        <v>-154748.19999999998</v>
      </c>
      <c r="P197" s="15" t="e">
        <f t="shared" si="20"/>
        <v>#DIV/0!</v>
      </c>
      <c r="Q197" s="16" t="e">
        <f t="shared" si="21"/>
        <v>#DIV/0!</v>
      </c>
      <c r="U197" s="14"/>
    </row>
    <row r="198" spans="1:21" x14ac:dyDescent="0.25">
      <c r="A198" s="7">
        <v>3294</v>
      </c>
      <c r="B198" s="126" t="s">
        <v>234</v>
      </c>
      <c r="C198" s="4">
        <f t="shared" si="23"/>
        <v>288538.58639999997</v>
      </c>
      <c r="D198" s="6">
        <v>1</v>
      </c>
      <c r="E198" s="82">
        <f t="shared" si="22"/>
        <v>0.12</v>
      </c>
      <c r="F198" s="128">
        <v>1866102.2099999995</v>
      </c>
      <c r="G198" s="128">
        <v>0</v>
      </c>
      <c r="H198" s="128">
        <v>210402.01</v>
      </c>
      <c r="I198" s="128">
        <v>236710</v>
      </c>
      <c r="J198" s="128">
        <v>54410</v>
      </c>
      <c r="K198" s="128">
        <v>36864</v>
      </c>
      <c r="L198" s="5">
        <f t="shared" si="18"/>
        <v>2404488.2199999997</v>
      </c>
      <c r="M198" s="2">
        <f>Form!$E$5</f>
        <v>0</v>
      </c>
      <c r="N198" s="5">
        <v>-94301.070000000211</v>
      </c>
      <c r="O198" s="14">
        <f t="shared" si="19"/>
        <v>-94301.070000000211</v>
      </c>
      <c r="P198" s="15" t="e">
        <f t="shared" si="20"/>
        <v>#DIV/0!</v>
      </c>
      <c r="Q198" s="16" t="e">
        <f t="shared" si="21"/>
        <v>#DIV/0!</v>
      </c>
      <c r="U198" s="14"/>
    </row>
    <row r="199" spans="1:21" x14ac:dyDescent="0.25">
      <c r="A199" s="7">
        <v>3295</v>
      </c>
      <c r="B199" s="126" t="s">
        <v>235</v>
      </c>
      <c r="C199" s="4">
        <f t="shared" si="23"/>
        <v>241288.66919999997</v>
      </c>
      <c r="D199" s="6">
        <v>1</v>
      </c>
      <c r="E199" s="82">
        <f t="shared" si="22"/>
        <v>0.12</v>
      </c>
      <c r="F199" s="128">
        <v>1509257.3599999999</v>
      </c>
      <c r="G199" s="128">
        <v>0</v>
      </c>
      <c r="H199" s="128">
        <v>274670.55</v>
      </c>
      <c r="I199" s="128">
        <v>44940.000000000007</v>
      </c>
      <c r="J199" s="128">
        <v>134511</v>
      </c>
      <c r="K199" s="128">
        <v>47360</v>
      </c>
      <c r="L199" s="5">
        <f t="shared" si="18"/>
        <v>2010738.91</v>
      </c>
      <c r="M199" s="2">
        <f>Form!$E$5</f>
        <v>0</v>
      </c>
      <c r="N199" s="5">
        <v>-233677.51999999979</v>
      </c>
      <c r="O199" s="14">
        <f t="shared" si="19"/>
        <v>-233677.51999999979</v>
      </c>
      <c r="P199" s="15" t="e">
        <f t="shared" si="20"/>
        <v>#DIV/0!</v>
      </c>
      <c r="Q199" s="16" t="e">
        <f t="shared" si="21"/>
        <v>#DIV/0!</v>
      </c>
      <c r="U199" s="14"/>
    </row>
    <row r="200" spans="1:21" x14ac:dyDescent="0.25">
      <c r="A200" s="7">
        <v>3296</v>
      </c>
      <c r="B200" s="126" t="s">
        <v>236</v>
      </c>
      <c r="C200" s="4">
        <f t="shared" si="23"/>
        <v>315521.82120000001</v>
      </c>
      <c r="D200" s="6">
        <v>1</v>
      </c>
      <c r="E200" s="82">
        <f t="shared" si="22"/>
        <v>0.12</v>
      </c>
      <c r="F200" s="128">
        <v>2000015.4800000002</v>
      </c>
      <c r="G200" s="128">
        <v>0</v>
      </c>
      <c r="H200" s="128">
        <v>353148.03</v>
      </c>
      <c r="I200" s="128">
        <v>175730</v>
      </c>
      <c r="J200" s="128">
        <v>62567</v>
      </c>
      <c r="K200" s="128">
        <v>37888</v>
      </c>
      <c r="L200" s="5">
        <f t="shared" si="18"/>
        <v>2629348.5100000002</v>
      </c>
      <c r="M200" s="2">
        <f>Form!$E$5</f>
        <v>0</v>
      </c>
      <c r="N200" s="5">
        <v>-286717.52000000054</v>
      </c>
      <c r="O200" s="14">
        <f t="shared" si="19"/>
        <v>-286717.52000000054</v>
      </c>
      <c r="P200" s="15" t="e">
        <f t="shared" si="20"/>
        <v>#DIV/0!</v>
      </c>
      <c r="Q200" s="16" t="e">
        <f t="shared" si="21"/>
        <v>#DIV/0!</v>
      </c>
      <c r="U200" s="14"/>
    </row>
    <row r="201" spans="1:21" x14ac:dyDescent="0.25">
      <c r="A201" s="7">
        <v>3297</v>
      </c>
      <c r="B201" s="126" t="s">
        <v>237</v>
      </c>
      <c r="C201" s="4">
        <f t="shared" si="23"/>
        <v>421487.54399999994</v>
      </c>
      <c r="D201" s="6">
        <v>1</v>
      </c>
      <c r="E201" s="82">
        <f t="shared" si="22"/>
        <v>0.12</v>
      </c>
      <c r="F201" s="128">
        <v>2958365.63</v>
      </c>
      <c r="G201" s="128">
        <v>0</v>
      </c>
      <c r="H201" s="128">
        <v>210711.57</v>
      </c>
      <c r="I201" s="128">
        <v>156440</v>
      </c>
      <c r="J201" s="128">
        <v>122879</v>
      </c>
      <c r="K201" s="128">
        <v>64000</v>
      </c>
      <c r="L201" s="5">
        <f t="shared" si="18"/>
        <v>3512396.1999999997</v>
      </c>
      <c r="M201" s="2">
        <f>Form!$E$5</f>
        <v>0</v>
      </c>
      <c r="N201" s="5">
        <v>-230247.79000000071</v>
      </c>
      <c r="O201" s="14">
        <f t="shared" si="19"/>
        <v>-230247.79000000071</v>
      </c>
      <c r="P201" s="15" t="e">
        <f t="shared" si="20"/>
        <v>#DIV/0!</v>
      </c>
      <c r="Q201" s="16" t="e">
        <f t="shared" si="21"/>
        <v>#DIV/0!</v>
      </c>
      <c r="U201" s="14"/>
    </row>
    <row r="202" spans="1:21" x14ac:dyDescent="0.25">
      <c r="A202" s="7">
        <v>3298</v>
      </c>
      <c r="B202" s="126" t="s">
        <v>238</v>
      </c>
      <c r="C202" s="4">
        <f t="shared" si="23"/>
        <v>158254.54440000001</v>
      </c>
      <c r="D202" s="6">
        <v>1</v>
      </c>
      <c r="E202" s="82">
        <f t="shared" si="22"/>
        <v>0.12</v>
      </c>
      <c r="F202" s="128">
        <v>1016451.3300000001</v>
      </c>
      <c r="G202" s="128">
        <v>0</v>
      </c>
      <c r="H202" s="128">
        <v>145565.53999999998</v>
      </c>
      <c r="I202" s="128">
        <v>85840.000000000015</v>
      </c>
      <c r="J202" s="128">
        <v>40742</v>
      </c>
      <c r="K202" s="128">
        <v>30189</v>
      </c>
      <c r="L202" s="5">
        <f t="shared" si="18"/>
        <v>1318787.8700000001</v>
      </c>
      <c r="M202" s="2">
        <f>Form!$E$5</f>
        <v>0</v>
      </c>
      <c r="N202" s="5">
        <v>-41964.13000000055</v>
      </c>
      <c r="O202" s="14">
        <f t="shared" si="19"/>
        <v>-41964.13000000055</v>
      </c>
      <c r="P202" s="15" t="e">
        <f t="shared" si="20"/>
        <v>#DIV/0!</v>
      </c>
      <c r="Q202" s="16" t="e">
        <f t="shared" si="21"/>
        <v>#DIV/0!</v>
      </c>
      <c r="U202" s="14"/>
    </row>
    <row r="203" spans="1:21" x14ac:dyDescent="0.25">
      <c r="A203" s="7">
        <v>3299</v>
      </c>
      <c r="B203" s="126" t="s">
        <v>239</v>
      </c>
      <c r="C203" s="4">
        <f t="shared" si="23"/>
        <v>328510.97760000004</v>
      </c>
      <c r="D203" s="6">
        <v>1</v>
      </c>
      <c r="E203" s="82">
        <f t="shared" si="22"/>
        <v>0.12</v>
      </c>
      <c r="F203" s="128">
        <v>2276612.3200000003</v>
      </c>
      <c r="G203" s="128">
        <v>0</v>
      </c>
      <c r="H203" s="128">
        <v>205446.16</v>
      </c>
      <c r="I203" s="128">
        <v>157740.00000000003</v>
      </c>
      <c r="J203" s="128">
        <v>86222</v>
      </c>
      <c r="K203" s="128">
        <v>11571</v>
      </c>
      <c r="L203" s="5">
        <f t="shared" si="18"/>
        <v>2737591.4800000004</v>
      </c>
      <c r="M203" s="2">
        <f>Form!$E$5</f>
        <v>0</v>
      </c>
      <c r="N203" s="5">
        <v>-30765.540000001005</v>
      </c>
      <c r="O203" s="14">
        <f t="shared" si="19"/>
        <v>-30765.540000001005</v>
      </c>
      <c r="P203" s="15" t="e">
        <f t="shared" si="20"/>
        <v>#DIV/0!</v>
      </c>
      <c r="Q203" s="16" t="e">
        <f t="shared" si="21"/>
        <v>#DIV/0!</v>
      </c>
      <c r="U203" s="14"/>
    </row>
    <row r="204" spans="1:21" x14ac:dyDescent="0.25">
      <c r="A204" s="7">
        <v>3303</v>
      </c>
      <c r="B204" s="126" t="s">
        <v>240</v>
      </c>
      <c r="C204" s="4">
        <f t="shared" si="23"/>
        <v>116063.7864</v>
      </c>
      <c r="D204" s="6">
        <v>1</v>
      </c>
      <c r="E204" s="82">
        <f t="shared" si="22"/>
        <v>0.12</v>
      </c>
      <c r="F204" s="128">
        <v>864416.34</v>
      </c>
      <c r="G204" s="128">
        <v>0</v>
      </c>
      <c r="H204" s="128">
        <v>38792.879999999997</v>
      </c>
      <c r="I204" s="128">
        <v>17370</v>
      </c>
      <c r="J204" s="128">
        <v>42574</v>
      </c>
      <c r="K204" s="128">
        <v>4045</v>
      </c>
      <c r="L204" s="5">
        <f t="shared" si="18"/>
        <v>967198.22</v>
      </c>
      <c r="M204" s="2">
        <f>Form!$E$5</f>
        <v>0</v>
      </c>
      <c r="N204" s="5">
        <v>-15270.830000000053</v>
      </c>
      <c r="O204" s="14">
        <f t="shared" si="19"/>
        <v>-15270.830000000053</v>
      </c>
      <c r="P204" s="15" t="e">
        <f t="shared" si="20"/>
        <v>#DIV/0!</v>
      </c>
      <c r="Q204" s="16" t="e">
        <f t="shared" si="21"/>
        <v>#DIV/0!</v>
      </c>
      <c r="U204" s="14"/>
    </row>
    <row r="205" spans="1:21" x14ac:dyDescent="0.25">
      <c r="A205" s="7">
        <v>3307</v>
      </c>
      <c r="B205" s="126" t="s">
        <v>241</v>
      </c>
      <c r="C205" s="4">
        <f t="shared" si="23"/>
        <v>120585.9516</v>
      </c>
      <c r="D205" s="6">
        <v>1</v>
      </c>
      <c r="E205" s="82">
        <f t="shared" si="22"/>
        <v>0.12</v>
      </c>
      <c r="F205" s="128">
        <v>910613.54</v>
      </c>
      <c r="G205" s="128">
        <v>0</v>
      </c>
      <c r="H205" s="128">
        <v>14652.390000000001</v>
      </c>
      <c r="I205" s="128">
        <v>14800</v>
      </c>
      <c r="J205" s="128">
        <v>59646</v>
      </c>
      <c r="K205" s="128">
        <v>5171</v>
      </c>
      <c r="L205" s="5">
        <f t="shared" si="18"/>
        <v>1004882.93</v>
      </c>
      <c r="M205" s="2">
        <f>Form!$E$5</f>
        <v>0</v>
      </c>
      <c r="N205" s="5">
        <v>-33354.180000000415</v>
      </c>
      <c r="O205" s="14">
        <f t="shared" si="19"/>
        <v>-33354.180000000415</v>
      </c>
      <c r="P205" s="15" t="e">
        <f t="shared" si="20"/>
        <v>#DIV/0!</v>
      </c>
      <c r="Q205" s="16" t="e">
        <f t="shared" si="21"/>
        <v>#DIV/0!</v>
      </c>
      <c r="U205" s="14"/>
    </row>
    <row r="206" spans="1:21" x14ac:dyDescent="0.25">
      <c r="A206" s="7">
        <v>3308</v>
      </c>
      <c r="B206" s="126" t="s">
        <v>242</v>
      </c>
      <c r="C206" s="4">
        <f t="shared" si="23"/>
        <v>89947.003200000006</v>
      </c>
      <c r="D206" s="6">
        <v>1</v>
      </c>
      <c r="E206" s="82">
        <f t="shared" si="22"/>
        <v>0.12</v>
      </c>
      <c r="F206" s="128">
        <v>644207.1100000001</v>
      </c>
      <c r="G206" s="128">
        <v>0</v>
      </c>
      <c r="H206" s="128">
        <v>51346.250000000015</v>
      </c>
      <c r="I206" s="128">
        <v>11840</v>
      </c>
      <c r="J206" s="128">
        <v>38095</v>
      </c>
      <c r="K206" s="128">
        <v>4070</v>
      </c>
      <c r="L206" s="5">
        <f t="shared" si="18"/>
        <v>749558.3600000001</v>
      </c>
      <c r="M206" s="2">
        <f>Form!$E$5</f>
        <v>0</v>
      </c>
      <c r="N206" s="5">
        <v>-51687.45999999989</v>
      </c>
      <c r="O206" s="14">
        <f t="shared" si="19"/>
        <v>-51687.45999999989</v>
      </c>
      <c r="P206" s="15" t="e">
        <f t="shared" si="20"/>
        <v>#DIV/0!</v>
      </c>
      <c r="Q206" s="16" t="e">
        <f t="shared" si="21"/>
        <v>#DIV/0!</v>
      </c>
      <c r="U206" s="14"/>
    </row>
    <row r="207" spans="1:21" x14ac:dyDescent="0.25">
      <c r="A207" s="7">
        <v>3309</v>
      </c>
      <c r="B207" s="126" t="s">
        <v>243</v>
      </c>
      <c r="C207" s="4">
        <f t="shared" si="23"/>
        <v>131047.34399999998</v>
      </c>
      <c r="D207" s="6">
        <v>1</v>
      </c>
      <c r="E207" s="82">
        <f t="shared" si="22"/>
        <v>0.12</v>
      </c>
      <c r="F207" s="128">
        <v>886582</v>
      </c>
      <c r="G207" s="128">
        <v>0</v>
      </c>
      <c r="H207" s="128">
        <v>101213.19999999998</v>
      </c>
      <c r="I207" s="128">
        <v>51800.000000000007</v>
      </c>
      <c r="J207" s="128">
        <v>44479</v>
      </c>
      <c r="K207" s="128">
        <v>7987</v>
      </c>
      <c r="L207" s="5">
        <f t="shared" si="18"/>
        <v>1092061.2</v>
      </c>
      <c r="M207" s="2">
        <f>Form!$E$5</f>
        <v>0</v>
      </c>
      <c r="N207" s="5">
        <v>-36112.389999999315</v>
      </c>
      <c r="O207" s="14">
        <f t="shared" si="19"/>
        <v>-36112.389999999315</v>
      </c>
      <c r="P207" s="15" t="e">
        <f t="shared" si="20"/>
        <v>#DIV/0!</v>
      </c>
      <c r="Q207" s="16" t="e">
        <f t="shared" si="21"/>
        <v>#DIV/0!</v>
      </c>
      <c r="U207" s="14"/>
    </row>
    <row r="208" spans="1:21" x14ac:dyDescent="0.25">
      <c r="A208" s="7">
        <v>3312</v>
      </c>
      <c r="B208" s="126" t="s">
        <v>244</v>
      </c>
      <c r="C208" s="4">
        <f t="shared" si="23"/>
        <v>130526.42039999999</v>
      </c>
      <c r="D208" s="6">
        <v>1</v>
      </c>
      <c r="E208" s="82">
        <f t="shared" si="22"/>
        <v>0.12</v>
      </c>
      <c r="F208" s="128">
        <v>903876.11999999988</v>
      </c>
      <c r="G208" s="128">
        <v>0</v>
      </c>
      <c r="H208" s="128">
        <v>89621.050000000017</v>
      </c>
      <c r="I208" s="128">
        <v>44010.000000000007</v>
      </c>
      <c r="J208" s="128">
        <v>46552</v>
      </c>
      <c r="K208" s="128">
        <v>3661</v>
      </c>
      <c r="L208" s="5">
        <f t="shared" si="18"/>
        <v>1087720.17</v>
      </c>
      <c r="M208" s="2">
        <f>Form!$E$5</f>
        <v>0</v>
      </c>
      <c r="N208" s="5">
        <v>-127689.94999999952</v>
      </c>
      <c r="O208" s="14">
        <f t="shared" si="19"/>
        <v>-127689.94999999952</v>
      </c>
      <c r="P208" s="15" t="e">
        <f t="shared" si="20"/>
        <v>#DIV/0!</v>
      </c>
      <c r="Q208" s="16" t="e">
        <f t="shared" si="21"/>
        <v>#DIV/0!</v>
      </c>
      <c r="U208" s="14"/>
    </row>
    <row r="209" spans="1:21" x14ac:dyDescent="0.25">
      <c r="A209" s="7">
        <v>3314</v>
      </c>
      <c r="B209" s="126" t="s">
        <v>245</v>
      </c>
      <c r="C209" s="4">
        <f t="shared" si="23"/>
        <v>75817.665599999964</v>
      </c>
      <c r="D209" s="6">
        <v>1</v>
      </c>
      <c r="E209" s="82">
        <f t="shared" si="22"/>
        <v>0.12</v>
      </c>
      <c r="F209" s="128">
        <v>560691.43999999983</v>
      </c>
      <c r="G209" s="128">
        <v>0</v>
      </c>
      <c r="H209" s="128">
        <v>15835.439999999995</v>
      </c>
      <c r="I209" s="128">
        <v>18460</v>
      </c>
      <c r="J209" s="128">
        <v>34779</v>
      </c>
      <c r="K209" s="128">
        <v>2048</v>
      </c>
      <c r="L209" s="5">
        <f t="shared" ref="L209:L255" si="24">SUM(F209:K209)</f>
        <v>631813.87999999977</v>
      </c>
      <c r="M209" s="2">
        <f>Form!$E$5</f>
        <v>0</v>
      </c>
      <c r="N209" s="5">
        <v>-49146.219999999877</v>
      </c>
      <c r="O209" s="14">
        <f t="shared" si="19"/>
        <v>-49146.219999999877</v>
      </c>
      <c r="P209" s="15" t="e">
        <f t="shared" si="20"/>
        <v>#DIV/0!</v>
      </c>
      <c r="Q209" s="16" t="e">
        <f t="shared" si="21"/>
        <v>#DIV/0!</v>
      </c>
      <c r="U209" s="14"/>
    </row>
    <row r="210" spans="1:21" x14ac:dyDescent="0.25">
      <c r="A210" s="7">
        <v>3317</v>
      </c>
      <c r="B210" s="126" t="s">
        <v>246</v>
      </c>
      <c r="C210" s="4">
        <f t="shared" si="23"/>
        <v>275784.18479999999</v>
      </c>
      <c r="D210" s="6">
        <v>1</v>
      </c>
      <c r="E210" s="82">
        <f t="shared" si="22"/>
        <v>0.12</v>
      </c>
      <c r="F210" s="128">
        <v>2096498.85</v>
      </c>
      <c r="G210" s="128">
        <v>0</v>
      </c>
      <c r="H210" s="128">
        <v>57544.689999999988</v>
      </c>
      <c r="I210" s="128">
        <v>41300</v>
      </c>
      <c r="J210" s="128">
        <v>93796</v>
      </c>
      <c r="K210" s="128">
        <v>9062</v>
      </c>
      <c r="L210" s="5">
        <f t="shared" si="24"/>
        <v>2298201.54</v>
      </c>
      <c r="M210" s="2">
        <f>Form!$E$5</f>
        <v>0</v>
      </c>
      <c r="N210" s="5">
        <v>-116119.06999999966</v>
      </c>
      <c r="O210" s="14">
        <f t="shared" si="19"/>
        <v>-116119.06999999966</v>
      </c>
      <c r="P210" s="15" t="e">
        <f t="shared" si="20"/>
        <v>#DIV/0!</v>
      </c>
      <c r="Q210" s="16" t="e">
        <f t="shared" si="21"/>
        <v>#DIV/0!</v>
      </c>
      <c r="U210" s="14"/>
    </row>
    <row r="211" spans="1:21" x14ac:dyDescent="0.25">
      <c r="A211" s="7">
        <v>3318</v>
      </c>
      <c r="B211" s="126" t="s">
        <v>247</v>
      </c>
      <c r="C211" s="4">
        <f t="shared" si="23"/>
        <v>106773.37440000002</v>
      </c>
      <c r="D211" s="6">
        <v>1</v>
      </c>
      <c r="E211" s="82">
        <f t="shared" si="22"/>
        <v>0.12</v>
      </c>
      <c r="F211" s="128">
        <v>792497.13000000012</v>
      </c>
      <c r="G211" s="128">
        <v>0</v>
      </c>
      <c r="H211" s="128">
        <v>24114.99</v>
      </c>
      <c r="I211" s="128">
        <v>21010</v>
      </c>
      <c r="J211" s="128">
        <v>49929</v>
      </c>
      <c r="K211" s="128">
        <v>2227</v>
      </c>
      <c r="L211" s="5">
        <f t="shared" si="24"/>
        <v>889778.12000000011</v>
      </c>
      <c r="M211" s="2">
        <f>Form!$E$5</f>
        <v>0</v>
      </c>
      <c r="N211" s="5">
        <v>-70473.549999999712</v>
      </c>
      <c r="O211" s="14">
        <f t="shared" si="19"/>
        <v>-70473.549999999712</v>
      </c>
      <c r="P211" s="15" t="e">
        <f t="shared" si="20"/>
        <v>#DIV/0!</v>
      </c>
      <c r="Q211" s="16" t="e">
        <f t="shared" si="21"/>
        <v>#DIV/0!</v>
      </c>
      <c r="U211" s="14"/>
    </row>
    <row r="212" spans="1:21" x14ac:dyDescent="0.25">
      <c r="A212" s="7">
        <v>3320</v>
      </c>
      <c r="B212" s="126" t="s">
        <v>248</v>
      </c>
      <c r="C212" s="4">
        <f t="shared" si="23"/>
        <v>161601.06240000002</v>
      </c>
      <c r="D212" s="6">
        <v>1</v>
      </c>
      <c r="E212" s="82">
        <f t="shared" si="22"/>
        <v>0.12</v>
      </c>
      <c r="F212" s="128">
        <v>1148791.0000000002</v>
      </c>
      <c r="G212" s="128">
        <v>0</v>
      </c>
      <c r="H212" s="128">
        <v>58620.51999999999</v>
      </c>
      <c r="I212" s="128">
        <v>97680</v>
      </c>
      <c r="J212" s="128">
        <v>38614</v>
      </c>
      <c r="K212" s="128">
        <v>2970</v>
      </c>
      <c r="L212" s="5">
        <f t="shared" si="24"/>
        <v>1346675.5200000003</v>
      </c>
      <c r="M212" s="2">
        <f>Form!$E$5</f>
        <v>0</v>
      </c>
      <c r="N212" s="5">
        <v>-4824.2300000002888</v>
      </c>
      <c r="O212" s="14">
        <f t="shared" si="19"/>
        <v>-4824.2300000002888</v>
      </c>
      <c r="P212" s="15" t="e">
        <f t="shared" si="20"/>
        <v>#DIV/0!</v>
      </c>
      <c r="Q212" s="16" t="str">
        <f t="shared" si="21"/>
        <v>Within Tolerance</v>
      </c>
      <c r="U212" s="14"/>
    </row>
    <row r="213" spans="1:21" x14ac:dyDescent="0.25">
      <c r="A213" s="7">
        <v>3322</v>
      </c>
      <c r="B213" s="127" t="s">
        <v>335</v>
      </c>
      <c r="C213" s="4">
        <f t="shared" si="23"/>
        <v>408085.63919999998</v>
      </c>
      <c r="D213" s="6">
        <v>1</v>
      </c>
      <c r="E213" s="82">
        <f t="shared" si="22"/>
        <v>0.12</v>
      </c>
      <c r="F213" s="128">
        <v>3024336.79</v>
      </c>
      <c r="G213" s="128">
        <v>0</v>
      </c>
      <c r="H213" s="128">
        <v>170684.87</v>
      </c>
      <c r="I213" s="128">
        <v>73220.000000000015</v>
      </c>
      <c r="J213" s="128">
        <v>121003</v>
      </c>
      <c r="K213" s="128">
        <v>11469</v>
      </c>
      <c r="L213" s="5">
        <f t="shared" si="24"/>
        <v>3400713.66</v>
      </c>
      <c r="M213" s="2">
        <f>Form!$E$5</f>
        <v>0</v>
      </c>
      <c r="N213" s="5">
        <v>-135702.55999999863</v>
      </c>
      <c r="O213" s="14">
        <f t="shared" si="19"/>
        <v>-135702.55999999863</v>
      </c>
      <c r="P213" s="15" t="e">
        <f t="shared" si="20"/>
        <v>#DIV/0!</v>
      </c>
      <c r="Q213" s="16" t="e">
        <f t="shared" si="21"/>
        <v>#DIV/0!</v>
      </c>
      <c r="U213" s="14"/>
    </row>
    <row r="214" spans="1:21" x14ac:dyDescent="0.25">
      <c r="A214" s="7">
        <v>3323</v>
      </c>
      <c r="B214" s="126" t="s">
        <v>249</v>
      </c>
      <c r="C214" s="4">
        <f t="shared" si="23"/>
        <v>87332.92319999999</v>
      </c>
      <c r="D214" s="6">
        <v>1</v>
      </c>
      <c r="E214" s="82">
        <f t="shared" si="22"/>
        <v>0.12</v>
      </c>
      <c r="F214" s="128">
        <v>617239.51</v>
      </c>
      <c r="G214" s="128">
        <v>0</v>
      </c>
      <c r="H214" s="128">
        <v>38762.85</v>
      </c>
      <c r="I214" s="128">
        <v>35621</v>
      </c>
      <c r="J214" s="128">
        <v>33642</v>
      </c>
      <c r="K214" s="128">
        <v>2509</v>
      </c>
      <c r="L214" s="5">
        <f t="shared" si="24"/>
        <v>727774.36</v>
      </c>
      <c r="M214" s="2">
        <f>Form!$E$5</f>
        <v>0</v>
      </c>
      <c r="N214" s="5">
        <v>-58735.269999999931</v>
      </c>
      <c r="O214" s="14">
        <f t="shared" si="19"/>
        <v>-58735.269999999931</v>
      </c>
      <c r="P214" s="15" t="e">
        <f t="shared" si="20"/>
        <v>#DIV/0!</v>
      </c>
      <c r="Q214" s="16" t="e">
        <f t="shared" si="21"/>
        <v>#DIV/0!</v>
      </c>
      <c r="U214" s="257" t="s">
        <v>449</v>
      </c>
    </row>
    <row r="215" spans="1:21" x14ac:dyDescent="0.25">
      <c r="A215" s="7">
        <v>3325</v>
      </c>
      <c r="B215" s="126" t="s">
        <v>250</v>
      </c>
      <c r="C215" s="4">
        <f t="shared" si="23"/>
        <v>134848.6404</v>
      </c>
      <c r="D215" s="6">
        <v>1</v>
      </c>
      <c r="E215" s="82">
        <f t="shared" si="22"/>
        <v>0.12</v>
      </c>
      <c r="F215" s="128">
        <v>964253.07000000007</v>
      </c>
      <c r="G215" s="128">
        <v>0</v>
      </c>
      <c r="H215" s="128">
        <v>66683.600000000006</v>
      </c>
      <c r="I215" s="128">
        <v>47360.000000000007</v>
      </c>
      <c r="J215" s="128">
        <v>42524</v>
      </c>
      <c r="K215" s="128">
        <v>2918</v>
      </c>
      <c r="L215" s="5">
        <f t="shared" si="24"/>
        <v>1123738.6700000002</v>
      </c>
      <c r="M215" s="2">
        <f>Form!$E$5</f>
        <v>0</v>
      </c>
      <c r="N215" s="5">
        <v>-79695.530000000203</v>
      </c>
      <c r="O215" s="14">
        <f t="shared" si="19"/>
        <v>-79695.530000000203</v>
      </c>
      <c r="P215" s="15" t="e">
        <f t="shared" si="20"/>
        <v>#DIV/0!</v>
      </c>
      <c r="Q215" s="16" t="e">
        <f t="shared" si="21"/>
        <v>#DIV/0!</v>
      </c>
      <c r="U215" s="257"/>
    </row>
    <row r="216" spans="1:21" x14ac:dyDescent="0.25">
      <c r="A216" s="7">
        <v>3328</v>
      </c>
      <c r="B216" s="126" t="s">
        <v>251</v>
      </c>
      <c r="C216" s="4">
        <f t="shared" si="23"/>
        <v>143994.84119999997</v>
      </c>
      <c r="D216" s="6">
        <v>1</v>
      </c>
      <c r="E216" s="82">
        <f t="shared" si="22"/>
        <v>0.12</v>
      </c>
      <c r="F216" s="128">
        <v>1047894.7399999999</v>
      </c>
      <c r="G216" s="128">
        <v>0</v>
      </c>
      <c r="H216" s="128">
        <v>60133.27</v>
      </c>
      <c r="I216" s="128">
        <v>41780.000000000007</v>
      </c>
      <c r="J216" s="128">
        <v>46411</v>
      </c>
      <c r="K216" s="128">
        <v>3738</v>
      </c>
      <c r="L216" s="5">
        <f t="shared" si="24"/>
        <v>1199957.0099999998</v>
      </c>
      <c r="M216" s="2">
        <f>Form!$E$5</f>
        <v>0</v>
      </c>
      <c r="N216" s="5">
        <v>-36084.049999999042</v>
      </c>
      <c r="O216" s="14">
        <f t="shared" si="19"/>
        <v>-36084.049999999042</v>
      </c>
      <c r="P216" s="15" t="e">
        <f t="shared" si="20"/>
        <v>#DIV/0!</v>
      </c>
      <c r="Q216" s="16" t="e">
        <f t="shared" si="21"/>
        <v>#DIV/0!</v>
      </c>
      <c r="U216" s="257"/>
    </row>
    <row r="217" spans="1:21" x14ac:dyDescent="0.25">
      <c r="A217" s="7">
        <v>3332</v>
      </c>
      <c r="B217" s="126" t="s">
        <v>252</v>
      </c>
      <c r="C217" s="4">
        <f t="shared" si="23"/>
        <v>94229.636399999988</v>
      </c>
      <c r="D217" s="6">
        <v>1</v>
      </c>
      <c r="E217" s="82">
        <f t="shared" si="22"/>
        <v>0.12</v>
      </c>
      <c r="F217" s="128">
        <v>657226.47</v>
      </c>
      <c r="G217" s="128">
        <v>0</v>
      </c>
      <c r="H217" s="128">
        <v>75091.499999999985</v>
      </c>
      <c r="I217" s="128">
        <v>24770</v>
      </c>
      <c r="J217" s="128">
        <v>26188</v>
      </c>
      <c r="K217" s="128">
        <v>1971</v>
      </c>
      <c r="L217" s="5">
        <f t="shared" si="24"/>
        <v>785246.97</v>
      </c>
      <c r="M217" s="2">
        <f>Form!$E$5</f>
        <v>0</v>
      </c>
      <c r="N217" s="5">
        <v>-135140.75999999989</v>
      </c>
      <c r="O217" s="14">
        <f t="shared" si="19"/>
        <v>-135140.75999999989</v>
      </c>
      <c r="P217" s="15" t="e">
        <f t="shared" si="20"/>
        <v>#DIV/0!</v>
      </c>
      <c r="Q217" s="16" t="e">
        <f t="shared" si="21"/>
        <v>#DIV/0!</v>
      </c>
      <c r="U217" s="257"/>
    </row>
    <row r="218" spans="1:21" x14ac:dyDescent="0.25">
      <c r="A218" s="7">
        <v>3337</v>
      </c>
      <c r="B218" s="126" t="s">
        <v>253</v>
      </c>
      <c r="C218" s="4">
        <f t="shared" si="23"/>
        <v>269976.88920000003</v>
      </c>
      <c r="D218" s="6">
        <v>1</v>
      </c>
      <c r="E218" s="82">
        <f t="shared" si="22"/>
        <v>0.12</v>
      </c>
      <c r="F218" s="128">
        <v>2033479.73</v>
      </c>
      <c r="G218" s="128">
        <v>0</v>
      </c>
      <c r="H218" s="128">
        <v>95759.679999999993</v>
      </c>
      <c r="I218" s="128">
        <v>28420</v>
      </c>
      <c r="J218" s="128">
        <v>81601</v>
      </c>
      <c r="K218" s="128">
        <v>10547</v>
      </c>
      <c r="L218" s="5">
        <f t="shared" si="24"/>
        <v>2249807.41</v>
      </c>
      <c r="M218" s="2">
        <f>Form!$E$5</f>
        <v>0</v>
      </c>
      <c r="N218" s="5">
        <v>-96665.07000000008</v>
      </c>
      <c r="O218" s="14">
        <f t="shared" si="19"/>
        <v>-96665.07000000008</v>
      </c>
      <c r="P218" s="15" t="e">
        <f t="shared" si="20"/>
        <v>#DIV/0!</v>
      </c>
      <c r="Q218" s="16" t="e">
        <f t="shared" si="21"/>
        <v>#DIV/0!</v>
      </c>
      <c r="U218" s="257"/>
    </row>
    <row r="219" spans="1:21" x14ac:dyDescent="0.25">
      <c r="A219" s="7">
        <v>3338</v>
      </c>
      <c r="B219" s="126" t="s">
        <v>254</v>
      </c>
      <c r="C219" s="4">
        <f t="shared" si="23"/>
        <v>243997.20120000001</v>
      </c>
      <c r="D219" s="6">
        <v>1</v>
      </c>
      <c r="E219" s="82">
        <f t="shared" si="22"/>
        <v>0.12</v>
      </c>
      <c r="F219" s="128">
        <v>1764193.3400000003</v>
      </c>
      <c r="G219" s="128">
        <v>0</v>
      </c>
      <c r="H219" s="128">
        <v>144472.67000000001</v>
      </c>
      <c r="I219" s="128">
        <v>97210</v>
      </c>
      <c r="J219" s="128">
        <v>19600</v>
      </c>
      <c r="K219" s="128">
        <v>7834</v>
      </c>
      <c r="L219" s="5">
        <f t="shared" si="24"/>
        <v>2033310.0100000002</v>
      </c>
      <c r="M219" s="2">
        <f>Form!$E$5</f>
        <v>0</v>
      </c>
      <c r="N219" s="5">
        <v>-242067.45999999958</v>
      </c>
      <c r="O219" s="14">
        <f t="shared" si="19"/>
        <v>-242067.45999999958</v>
      </c>
      <c r="P219" s="15" t="e">
        <f t="shared" si="20"/>
        <v>#DIV/0!</v>
      </c>
      <c r="Q219" s="16" t="e">
        <f t="shared" si="21"/>
        <v>#DIV/0!</v>
      </c>
      <c r="U219" s="14"/>
    </row>
    <row r="220" spans="1:21" x14ac:dyDescent="0.25">
      <c r="A220" s="7">
        <v>3339</v>
      </c>
      <c r="B220" s="126" t="s">
        <v>255</v>
      </c>
      <c r="C220" s="4">
        <f t="shared" si="23"/>
        <v>152816.81039999999</v>
      </c>
      <c r="D220" s="6">
        <v>1</v>
      </c>
      <c r="E220" s="82">
        <f t="shared" si="22"/>
        <v>0.12</v>
      </c>
      <c r="F220" s="128">
        <v>1091563.43</v>
      </c>
      <c r="G220" s="128">
        <v>0</v>
      </c>
      <c r="H220" s="128">
        <v>98133.989999999991</v>
      </c>
      <c r="I220" s="128">
        <v>62080.000000000007</v>
      </c>
      <c r="J220" s="128">
        <v>18112</v>
      </c>
      <c r="K220" s="128">
        <v>3584</v>
      </c>
      <c r="L220" s="5">
        <f t="shared" si="24"/>
        <v>1273473.42</v>
      </c>
      <c r="M220" s="2">
        <f>Form!$E$5</f>
        <v>0</v>
      </c>
      <c r="N220" s="5">
        <v>-22852.829999999551</v>
      </c>
      <c r="O220" s="14">
        <f t="shared" ref="O220:O268" si="25">N220-M220</f>
        <v>-22852.829999999551</v>
      </c>
      <c r="P220" s="15" t="e">
        <f t="shared" ref="P220:P268" si="26">O220/M220</f>
        <v>#DIV/0!</v>
      </c>
      <c r="Q220" s="16" t="e">
        <f t="shared" ref="Q220:Q268" si="27">IF(AND(O220&lt;$Q$2,O220&gt;-$Q$2),"Within Tolerance",IF(AND(P220&lt;$R$2,P220&gt;-$R$2),"Within Tolerance",O220))</f>
        <v>#DIV/0!</v>
      </c>
      <c r="U220" s="14"/>
    </row>
    <row r="221" spans="1:21" x14ac:dyDescent="0.25">
      <c r="A221" s="7">
        <v>3340</v>
      </c>
      <c r="B221" s="126" t="s">
        <v>256</v>
      </c>
      <c r="C221" s="4">
        <f t="shared" si="23"/>
        <v>301023.0036</v>
      </c>
      <c r="D221" s="6">
        <v>1</v>
      </c>
      <c r="E221" s="82">
        <f t="shared" si="22"/>
        <v>0.12</v>
      </c>
      <c r="F221" s="128">
        <v>2113396.7400000002</v>
      </c>
      <c r="G221" s="128">
        <v>0</v>
      </c>
      <c r="H221" s="128">
        <v>102132.29000000001</v>
      </c>
      <c r="I221" s="128">
        <v>171380</v>
      </c>
      <c r="J221" s="128">
        <v>79120</v>
      </c>
      <c r="K221" s="128">
        <v>42496</v>
      </c>
      <c r="L221" s="5">
        <f t="shared" si="24"/>
        <v>2508525.0300000003</v>
      </c>
      <c r="M221" s="2">
        <f>Form!$E$5</f>
        <v>0</v>
      </c>
      <c r="N221" s="5">
        <v>-164332.72000000117</v>
      </c>
      <c r="O221" s="14">
        <f t="shared" si="25"/>
        <v>-164332.72000000117</v>
      </c>
      <c r="P221" s="15" t="e">
        <f t="shared" si="26"/>
        <v>#DIV/0!</v>
      </c>
      <c r="Q221" s="16" t="e">
        <f t="shared" si="27"/>
        <v>#DIV/0!</v>
      </c>
      <c r="U221" s="14"/>
    </row>
    <row r="222" spans="1:21" x14ac:dyDescent="0.25">
      <c r="A222" s="7">
        <v>3346</v>
      </c>
      <c r="B222" s="126" t="s">
        <v>257</v>
      </c>
      <c r="C222" s="4">
        <f t="shared" si="23"/>
        <v>107635.19760000001</v>
      </c>
      <c r="D222" s="6">
        <v>1</v>
      </c>
      <c r="E222" s="82">
        <f t="shared" si="22"/>
        <v>0.12</v>
      </c>
      <c r="F222" s="128">
        <v>749065.74000000011</v>
      </c>
      <c r="G222" s="128">
        <v>0</v>
      </c>
      <c r="H222" s="128">
        <v>70299.239999999991</v>
      </c>
      <c r="I222" s="128">
        <v>35130.000000000007</v>
      </c>
      <c r="J222" s="128">
        <v>38958</v>
      </c>
      <c r="K222" s="128">
        <v>3507</v>
      </c>
      <c r="L222" s="5">
        <f t="shared" si="24"/>
        <v>896959.9800000001</v>
      </c>
      <c r="M222" s="2">
        <f>Form!$E$5</f>
        <v>0</v>
      </c>
      <c r="N222" s="5">
        <v>-23183.490000000122</v>
      </c>
      <c r="O222" s="14">
        <f t="shared" si="25"/>
        <v>-23183.490000000122</v>
      </c>
      <c r="P222" s="15" t="e">
        <f t="shared" si="26"/>
        <v>#DIV/0!</v>
      </c>
      <c r="Q222" s="16" t="e">
        <f t="shared" si="27"/>
        <v>#DIV/0!</v>
      </c>
      <c r="U222" s="14"/>
    </row>
    <row r="223" spans="1:21" x14ac:dyDescent="0.25">
      <c r="A223" s="7">
        <v>3347</v>
      </c>
      <c r="B223" s="126" t="s">
        <v>258</v>
      </c>
      <c r="C223" s="4">
        <f t="shared" si="23"/>
        <v>92813.044800000018</v>
      </c>
      <c r="D223" s="6">
        <v>1</v>
      </c>
      <c r="E223" s="82">
        <f t="shared" si="22"/>
        <v>0.12</v>
      </c>
      <c r="F223" s="128">
        <v>676788.24000000011</v>
      </c>
      <c r="G223" s="128">
        <v>0</v>
      </c>
      <c r="H223" s="128">
        <v>30753.799999999996</v>
      </c>
      <c r="I223" s="128">
        <v>28120.000000000007</v>
      </c>
      <c r="J223" s="128">
        <v>35169</v>
      </c>
      <c r="K223" s="128">
        <v>2611</v>
      </c>
      <c r="L223" s="5">
        <f t="shared" si="24"/>
        <v>773442.04000000015</v>
      </c>
      <c r="M223" s="2">
        <f>Form!$E$5</f>
        <v>0</v>
      </c>
      <c r="N223" s="5">
        <v>-1889.0900000000256</v>
      </c>
      <c r="O223" s="14">
        <f t="shared" si="25"/>
        <v>-1889.0900000000256</v>
      </c>
      <c r="P223" s="15" t="e">
        <f t="shared" si="26"/>
        <v>#DIV/0!</v>
      </c>
      <c r="Q223" s="16" t="str">
        <f t="shared" si="27"/>
        <v>Within Tolerance</v>
      </c>
      <c r="U223" s="14"/>
    </row>
    <row r="224" spans="1:21" x14ac:dyDescent="0.25">
      <c r="A224" s="7">
        <v>3350</v>
      </c>
      <c r="B224" s="126" t="s">
        <v>259</v>
      </c>
      <c r="C224" s="4">
        <f t="shared" si="23"/>
        <v>137098.57199999999</v>
      </c>
      <c r="D224" s="6">
        <v>1</v>
      </c>
      <c r="E224" s="82">
        <f t="shared" si="22"/>
        <v>0.12</v>
      </c>
      <c r="F224" s="128">
        <v>1007160.3499999999</v>
      </c>
      <c r="G224" s="128">
        <v>0</v>
      </c>
      <c r="H224" s="128">
        <v>50206.750000000007</v>
      </c>
      <c r="I224" s="128">
        <v>25850</v>
      </c>
      <c r="J224" s="128">
        <v>54049</v>
      </c>
      <c r="K224" s="128">
        <v>5222</v>
      </c>
      <c r="L224" s="5">
        <f t="shared" si="24"/>
        <v>1142488.0999999999</v>
      </c>
      <c r="M224" s="2">
        <f>Form!$E$5</f>
        <v>0</v>
      </c>
      <c r="N224" s="5">
        <v>-51900</v>
      </c>
      <c r="O224" s="14">
        <f t="shared" si="25"/>
        <v>-51900</v>
      </c>
      <c r="P224" s="15" t="e">
        <f t="shared" si="26"/>
        <v>#DIV/0!</v>
      </c>
      <c r="Q224" s="16" t="e">
        <f t="shared" si="27"/>
        <v>#DIV/0!</v>
      </c>
      <c r="U224" s="14"/>
    </row>
    <row r="225" spans="1:21" x14ac:dyDescent="0.25">
      <c r="A225" s="7">
        <v>3351</v>
      </c>
      <c r="B225" s="126" t="s">
        <v>260</v>
      </c>
      <c r="C225" s="4">
        <f t="shared" si="23"/>
        <v>135037.53</v>
      </c>
      <c r="D225" s="6">
        <v>1</v>
      </c>
      <c r="E225" s="82">
        <f t="shared" si="22"/>
        <v>0.12</v>
      </c>
      <c r="F225" s="128">
        <v>937233.26</v>
      </c>
      <c r="G225" s="128">
        <v>0</v>
      </c>
      <c r="H225" s="128">
        <v>79476.490000000005</v>
      </c>
      <c r="I225" s="128">
        <v>71650.000000000015</v>
      </c>
      <c r="J225" s="128">
        <v>30041</v>
      </c>
      <c r="K225" s="128">
        <v>6912</v>
      </c>
      <c r="L225" s="5">
        <f t="shared" si="24"/>
        <v>1125312.75</v>
      </c>
      <c r="M225" s="2">
        <f>Form!$E$5</f>
        <v>0</v>
      </c>
      <c r="N225" s="5">
        <v>-142676.54000000027</v>
      </c>
      <c r="O225" s="14">
        <f t="shared" si="25"/>
        <v>-142676.54000000027</v>
      </c>
      <c r="P225" s="15" t="e">
        <f t="shared" si="26"/>
        <v>#DIV/0!</v>
      </c>
      <c r="Q225" s="16" t="e">
        <f t="shared" si="27"/>
        <v>#DIV/0!</v>
      </c>
      <c r="U225" s="14"/>
    </row>
    <row r="226" spans="1:21" x14ac:dyDescent="0.25">
      <c r="A226" s="7">
        <v>3356</v>
      </c>
      <c r="B226" s="126" t="s">
        <v>261</v>
      </c>
      <c r="C226" s="4">
        <f t="shared" si="23"/>
        <v>155816.66639999999</v>
      </c>
      <c r="D226" s="6">
        <v>1</v>
      </c>
      <c r="E226" s="82">
        <f t="shared" si="22"/>
        <v>0.12</v>
      </c>
      <c r="F226" s="128">
        <v>1023028.6900000001</v>
      </c>
      <c r="G226" s="128">
        <v>0</v>
      </c>
      <c r="H226" s="128">
        <v>98756.530000000013</v>
      </c>
      <c r="I226" s="128">
        <v>139460</v>
      </c>
      <c r="J226" s="128">
        <v>32952</v>
      </c>
      <c r="K226" s="128">
        <v>4275</v>
      </c>
      <c r="L226" s="5">
        <f t="shared" si="24"/>
        <v>1298472.22</v>
      </c>
      <c r="M226" s="2">
        <f>Form!$E$5</f>
        <v>0</v>
      </c>
      <c r="N226" s="5">
        <v>-76592.81000000026</v>
      </c>
      <c r="O226" s="14">
        <f t="shared" si="25"/>
        <v>-76592.81000000026</v>
      </c>
      <c r="P226" s="15" t="e">
        <f t="shared" si="26"/>
        <v>#DIV/0!</v>
      </c>
      <c r="Q226" s="16" t="e">
        <f t="shared" si="27"/>
        <v>#DIV/0!</v>
      </c>
      <c r="U226" s="14"/>
    </row>
    <row r="227" spans="1:21" x14ac:dyDescent="0.25">
      <c r="A227" s="7">
        <v>3360</v>
      </c>
      <c r="B227" s="126" t="s">
        <v>262</v>
      </c>
      <c r="C227" s="4">
        <f t="shared" si="23"/>
        <v>241328.80319999991</v>
      </c>
      <c r="D227" s="6">
        <v>1</v>
      </c>
      <c r="E227" s="82">
        <f t="shared" si="22"/>
        <v>0.12</v>
      </c>
      <c r="F227" s="128">
        <v>1772554.3399999994</v>
      </c>
      <c r="G227" s="128">
        <v>0</v>
      </c>
      <c r="H227" s="128">
        <v>29040.020000000004</v>
      </c>
      <c r="I227" s="128">
        <v>179904</v>
      </c>
      <c r="J227" s="128">
        <v>19591</v>
      </c>
      <c r="K227" s="128">
        <v>9984</v>
      </c>
      <c r="L227" s="5">
        <f t="shared" si="24"/>
        <v>2011073.3599999994</v>
      </c>
      <c r="M227" s="2">
        <f>Form!$E$5</f>
        <v>0</v>
      </c>
      <c r="N227" s="5">
        <v>-331220.00999999978</v>
      </c>
      <c r="O227" s="14">
        <f t="shared" si="25"/>
        <v>-331220.00999999978</v>
      </c>
      <c r="P227" s="15" t="e">
        <f t="shared" si="26"/>
        <v>#DIV/0!</v>
      </c>
      <c r="Q227" s="16" t="e">
        <f t="shared" si="27"/>
        <v>#DIV/0!</v>
      </c>
      <c r="U227" s="14"/>
    </row>
    <row r="228" spans="1:21" x14ac:dyDescent="0.25">
      <c r="A228" s="7">
        <v>3364</v>
      </c>
      <c r="B228" s="126" t="s">
        <v>263</v>
      </c>
      <c r="C228" s="4">
        <f t="shared" si="23"/>
        <v>154420.2144</v>
      </c>
      <c r="D228" s="6">
        <v>1</v>
      </c>
      <c r="E228" s="82">
        <f t="shared" si="22"/>
        <v>0.12</v>
      </c>
      <c r="F228" s="128">
        <v>1064097.4700000002</v>
      </c>
      <c r="G228" s="128">
        <v>0</v>
      </c>
      <c r="H228" s="128">
        <v>99615.65</v>
      </c>
      <c r="I228" s="128">
        <v>63170.000000000015</v>
      </c>
      <c r="J228" s="128">
        <v>54013</v>
      </c>
      <c r="K228" s="128">
        <v>5939</v>
      </c>
      <c r="L228" s="5">
        <f t="shared" si="24"/>
        <v>1286835.1200000001</v>
      </c>
      <c r="M228" s="2">
        <f>Form!$E$5</f>
        <v>0</v>
      </c>
      <c r="N228" s="5">
        <v>-78924.999999999389</v>
      </c>
      <c r="O228" s="14">
        <f t="shared" si="25"/>
        <v>-78924.999999999389</v>
      </c>
      <c r="P228" s="15" t="e">
        <f t="shared" si="26"/>
        <v>#DIV/0!</v>
      </c>
      <c r="Q228" s="16" t="e">
        <f t="shared" si="27"/>
        <v>#DIV/0!</v>
      </c>
      <c r="U228" s="14"/>
    </row>
    <row r="229" spans="1:21" x14ac:dyDescent="0.25">
      <c r="A229" s="7">
        <v>3373</v>
      </c>
      <c r="B229" s="126" t="s">
        <v>264</v>
      </c>
      <c r="C229" s="4">
        <f t="shared" si="23"/>
        <v>230508.41879999998</v>
      </c>
      <c r="D229" s="6">
        <v>1</v>
      </c>
      <c r="E229" s="82">
        <f t="shared" si="22"/>
        <v>0.12</v>
      </c>
      <c r="F229" s="128">
        <v>1631618.3699999999</v>
      </c>
      <c r="G229" s="128">
        <v>0</v>
      </c>
      <c r="H229" s="128">
        <v>92126.12000000001</v>
      </c>
      <c r="I229" s="128">
        <v>152050</v>
      </c>
      <c r="J229" s="128">
        <v>39835</v>
      </c>
      <c r="K229" s="128">
        <v>5274</v>
      </c>
      <c r="L229" s="5">
        <f t="shared" si="24"/>
        <v>1920903.49</v>
      </c>
      <c r="M229" s="2">
        <f>Form!$E$5</f>
        <v>0</v>
      </c>
      <c r="N229" s="5">
        <v>-169921.22999999934</v>
      </c>
      <c r="O229" s="14">
        <f t="shared" si="25"/>
        <v>-169921.22999999934</v>
      </c>
      <c r="P229" s="15" t="e">
        <f t="shared" si="26"/>
        <v>#DIV/0!</v>
      </c>
      <c r="Q229" s="16" t="e">
        <f t="shared" si="27"/>
        <v>#DIV/0!</v>
      </c>
      <c r="U229" s="14"/>
    </row>
    <row r="230" spans="1:21" x14ac:dyDescent="0.25">
      <c r="A230" s="7">
        <v>3722</v>
      </c>
      <c r="B230" s="126" t="s">
        <v>108</v>
      </c>
      <c r="C230" s="4">
        <f t="shared" si="23"/>
        <v>177800.1036</v>
      </c>
      <c r="D230" s="6">
        <v>1</v>
      </c>
      <c r="E230" s="82">
        <f t="shared" si="22"/>
        <v>0.12</v>
      </c>
      <c r="F230" s="128">
        <v>1217205.3900000001</v>
      </c>
      <c r="G230" s="128">
        <v>0</v>
      </c>
      <c r="H230" s="128">
        <v>92495.359999999986</v>
      </c>
      <c r="I230" s="128">
        <v>136561.78000000003</v>
      </c>
      <c r="J230" s="128">
        <v>32307</v>
      </c>
      <c r="K230" s="128">
        <v>3098</v>
      </c>
      <c r="L230" s="5">
        <f t="shared" si="24"/>
        <v>1481667.53</v>
      </c>
      <c r="M230" s="2">
        <f>Form!$E$5</f>
        <v>0</v>
      </c>
      <c r="N230" s="5">
        <v>-148938.95999999976</v>
      </c>
      <c r="O230" s="14">
        <f t="shared" si="25"/>
        <v>-148938.95999999976</v>
      </c>
      <c r="P230" s="15" t="e">
        <f t="shared" si="26"/>
        <v>#DIV/0!</v>
      </c>
      <c r="Q230" s="16" t="e">
        <f t="shared" si="27"/>
        <v>#DIV/0!</v>
      </c>
      <c r="U230" s="14"/>
    </row>
    <row r="231" spans="1:21" x14ac:dyDescent="0.25">
      <c r="A231" s="7">
        <v>3728</v>
      </c>
      <c r="B231" s="126" t="s">
        <v>265</v>
      </c>
      <c r="C231" s="4">
        <f t="shared" si="23"/>
        <v>148167.87240000002</v>
      </c>
      <c r="D231" s="6">
        <v>1</v>
      </c>
      <c r="E231" s="82">
        <f t="shared" si="22"/>
        <v>0.12</v>
      </c>
      <c r="F231" s="128">
        <v>1115902.9300000002</v>
      </c>
      <c r="G231" s="128">
        <v>0</v>
      </c>
      <c r="H231" s="128">
        <v>35318.339999999997</v>
      </c>
      <c r="I231" s="128">
        <v>26844.999999999996</v>
      </c>
      <c r="J231" s="128">
        <v>52212</v>
      </c>
      <c r="K231" s="128">
        <v>4454</v>
      </c>
      <c r="L231" s="5">
        <f t="shared" si="24"/>
        <v>1234732.2700000003</v>
      </c>
      <c r="M231" s="2">
        <f>Form!$E$5</f>
        <v>0</v>
      </c>
      <c r="N231" s="5">
        <v>-107915.52999999996</v>
      </c>
      <c r="O231" s="14">
        <f t="shared" si="25"/>
        <v>-107915.52999999996</v>
      </c>
      <c r="P231" s="15" t="e">
        <f t="shared" si="26"/>
        <v>#DIV/0!</v>
      </c>
      <c r="Q231" s="16" t="e">
        <f t="shared" si="27"/>
        <v>#DIV/0!</v>
      </c>
      <c r="U231" s="14"/>
    </row>
    <row r="232" spans="1:21" x14ac:dyDescent="0.25">
      <c r="A232" s="7">
        <v>3733</v>
      </c>
      <c r="B232" s="126" t="s">
        <v>109</v>
      </c>
      <c r="C232" s="4">
        <f t="shared" si="23"/>
        <v>147742.75320000001</v>
      </c>
      <c r="D232" s="6">
        <v>1</v>
      </c>
      <c r="E232" s="82">
        <f t="shared" si="22"/>
        <v>0.12</v>
      </c>
      <c r="F232" s="128">
        <v>1091824.04</v>
      </c>
      <c r="G232" s="128">
        <v>0</v>
      </c>
      <c r="H232" s="128">
        <v>52642.569999999992</v>
      </c>
      <c r="I232" s="128">
        <v>23680</v>
      </c>
      <c r="J232" s="128">
        <v>58947</v>
      </c>
      <c r="K232" s="128">
        <v>4096</v>
      </c>
      <c r="L232" s="5">
        <f t="shared" si="24"/>
        <v>1231189.6100000001</v>
      </c>
      <c r="M232" s="2">
        <f>Form!$E$5</f>
        <v>0</v>
      </c>
      <c r="N232" s="5">
        <v>-42226.959999999905</v>
      </c>
      <c r="O232" s="14">
        <f t="shared" si="25"/>
        <v>-42226.959999999905</v>
      </c>
      <c r="P232" s="15" t="e">
        <f t="shared" si="26"/>
        <v>#DIV/0!</v>
      </c>
      <c r="Q232" s="16" t="e">
        <f t="shared" si="27"/>
        <v>#DIV/0!</v>
      </c>
      <c r="U232" s="14"/>
    </row>
    <row r="233" spans="1:21" x14ac:dyDescent="0.25">
      <c r="A233" s="7">
        <v>3749</v>
      </c>
      <c r="B233" s="126" t="s">
        <v>110</v>
      </c>
      <c r="C233" s="4">
        <f t="shared" si="23"/>
        <v>152776.17600000001</v>
      </c>
      <c r="D233" s="6">
        <v>1</v>
      </c>
      <c r="E233" s="82">
        <f t="shared" si="22"/>
        <v>0.12</v>
      </c>
      <c r="F233" s="128">
        <v>1126967.9200000002</v>
      </c>
      <c r="G233" s="128">
        <v>0</v>
      </c>
      <c r="H233" s="128">
        <v>24237.879999999997</v>
      </c>
      <c r="I233" s="128">
        <v>62970.000000000007</v>
      </c>
      <c r="J233" s="128">
        <v>53788</v>
      </c>
      <c r="K233" s="128">
        <v>5171</v>
      </c>
      <c r="L233" s="5">
        <f t="shared" si="24"/>
        <v>1273134.8</v>
      </c>
      <c r="M233" s="2">
        <f>Form!$E$5</f>
        <v>0</v>
      </c>
      <c r="N233" s="5">
        <v>-147629.60999999964</v>
      </c>
      <c r="O233" s="14">
        <f t="shared" si="25"/>
        <v>-147629.60999999964</v>
      </c>
      <c r="P233" s="15" t="e">
        <f t="shared" si="26"/>
        <v>#DIV/0!</v>
      </c>
      <c r="Q233" s="16" t="e">
        <f t="shared" si="27"/>
        <v>#DIV/0!</v>
      </c>
      <c r="U233" s="14"/>
    </row>
    <row r="234" spans="1:21" x14ac:dyDescent="0.25">
      <c r="A234" s="7">
        <v>3893</v>
      </c>
      <c r="B234" s="126" t="s">
        <v>111</v>
      </c>
      <c r="C234" s="4">
        <f t="shared" si="23"/>
        <v>197916.26759999999</v>
      </c>
      <c r="D234" s="6">
        <v>1</v>
      </c>
      <c r="E234" s="82">
        <f t="shared" si="22"/>
        <v>0.12</v>
      </c>
      <c r="F234" s="128">
        <v>1240401.45</v>
      </c>
      <c r="G234" s="128">
        <v>0</v>
      </c>
      <c r="H234" s="128">
        <v>149975.78</v>
      </c>
      <c r="I234" s="128">
        <v>165529</v>
      </c>
      <c r="J234" s="128">
        <v>40148</v>
      </c>
      <c r="K234" s="128">
        <v>53248</v>
      </c>
      <c r="L234" s="5">
        <f t="shared" si="24"/>
        <v>1649302.23</v>
      </c>
      <c r="M234" s="2">
        <f>Form!$E$5</f>
        <v>0</v>
      </c>
      <c r="N234" s="5">
        <v>-112049.37999999996</v>
      </c>
      <c r="O234" s="14">
        <f t="shared" si="25"/>
        <v>-112049.37999999996</v>
      </c>
      <c r="P234" s="15" t="e">
        <f t="shared" si="26"/>
        <v>#DIV/0!</v>
      </c>
      <c r="Q234" s="16" t="e">
        <f t="shared" si="27"/>
        <v>#DIV/0!</v>
      </c>
      <c r="U234" s="14"/>
    </row>
    <row r="235" spans="1:21" x14ac:dyDescent="0.25">
      <c r="A235" s="7">
        <v>3896</v>
      </c>
      <c r="B235" s="126" t="s">
        <v>266</v>
      </c>
      <c r="C235" s="4">
        <f t="shared" si="23"/>
        <v>157985.59439999994</v>
      </c>
      <c r="D235" s="6">
        <v>1</v>
      </c>
      <c r="E235" s="82">
        <f t="shared" si="22"/>
        <v>0.12</v>
      </c>
      <c r="F235" s="128">
        <v>1096438.1899999997</v>
      </c>
      <c r="G235" s="128">
        <v>0</v>
      </c>
      <c r="H235" s="128">
        <v>48874.429999999993</v>
      </c>
      <c r="I235" s="128">
        <v>123540.00000000001</v>
      </c>
      <c r="J235" s="128">
        <v>27360</v>
      </c>
      <c r="K235" s="128">
        <v>20334</v>
      </c>
      <c r="L235" s="5">
        <f t="shared" si="24"/>
        <v>1316546.6199999996</v>
      </c>
      <c r="M235" s="2">
        <f>Form!$E$5</f>
        <v>0</v>
      </c>
      <c r="N235" s="5">
        <v>-48512.339999999844</v>
      </c>
      <c r="O235" s="14">
        <f t="shared" si="25"/>
        <v>-48512.339999999844</v>
      </c>
      <c r="P235" s="15" t="e">
        <f t="shared" si="26"/>
        <v>#DIV/0!</v>
      </c>
      <c r="Q235" s="16" t="e">
        <f t="shared" si="27"/>
        <v>#DIV/0!</v>
      </c>
      <c r="U235" s="14"/>
    </row>
    <row r="236" spans="1:21" x14ac:dyDescent="0.25">
      <c r="A236" s="7">
        <v>3898</v>
      </c>
      <c r="B236" s="126" t="s">
        <v>267</v>
      </c>
      <c r="C236" s="4">
        <f t="shared" si="23"/>
        <v>299829.61319999996</v>
      </c>
      <c r="D236" s="6">
        <v>1</v>
      </c>
      <c r="E236" s="82">
        <f t="shared" si="22"/>
        <v>0.12</v>
      </c>
      <c r="F236" s="128">
        <v>2188108.09</v>
      </c>
      <c r="G236" s="128">
        <v>0</v>
      </c>
      <c r="H236" s="128">
        <v>14706.019999999999</v>
      </c>
      <c r="I236" s="128">
        <v>211629.99999999994</v>
      </c>
      <c r="J236" s="128">
        <v>47016</v>
      </c>
      <c r="K236" s="128">
        <v>37120</v>
      </c>
      <c r="L236" s="5">
        <f t="shared" si="24"/>
        <v>2498580.11</v>
      </c>
      <c r="M236" s="2">
        <f>Form!$E$5</f>
        <v>0</v>
      </c>
      <c r="N236" s="5">
        <v>-275502.50999999867</v>
      </c>
      <c r="O236" s="14">
        <f t="shared" si="25"/>
        <v>-275502.50999999867</v>
      </c>
      <c r="P236" s="15" t="e">
        <f t="shared" si="26"/>
        <v>#DIV/0!</v>
      </c>
      <c r="Q236" s="16" t="e">
        <f t="shared" si="27"/>
        <v>#DIV/0!</v>
      </c>
      <c r="U236" s="14"/>
    </row>
    <row r="237" spans="1:21" x14ac:dyDescent="0.25">
      <c r="A237" s="7">
        <v>3902</v>
      </c>
      <c r="B237" s="126" t="s">
        <v>268</v>
      </c>
      <c r="C237" s="4">
        <f t="shared" si="23"/>
        <v>253497.20879999996</v>
      </c>
      <c r="D237" s="6">
        <v>1</v>
      </c>
      <c r="E237" s="82">
        <f t="shared" si="22"/>
        <v>0.12</v>
      </c>
      <c r="F237" s="128">
        <v>1663172.3899999997</v>
      </c>
      <c r="G237" s="128">
        <v>0</v>
      </c>
      <c r="H237" s="128">
        <v>159799.35</v>
      </c>
      <c r="I237" s="128">
        <v>175500</v>
      </c>
      <c r="J237" s="128">
        <v>54613</v>
      </c>
      <c r="K237" s="128">
        <v>59392</v>
      </c>
      <c r="L237" s="5">
        <f t="shared" si="24"/>
        <v>2112476.7399999998</v>
      </c>
      <c r="M237" s="2">
        <f>Form!$E$5</f>
        <v>0</v>
      </c>
      <c r="N237" s="5">
        <v>-236932.99000000072</v>
      </c>
      <c r="O237" s="14">
        <f t="shared" si="25"/>
        <v>-236932.99000000072</v>
      </c>
      <c r="P237" s="15" t="e">
        <f t="shared" si="26"/>
        <v>#DIV/0!</v>
      </c>
      <c r="Q237" s="16" t="e">
        <f t="shared" si="27"/>
        <v>#DIV/0!</v>
      </c>
      <c r="U237" s="14"/>
    </row>
    <row r="238" spans="1:21" x14ac:dyDescent="0.25">
      <c r="A238" s="7">
        <v>3904</v>
      </c>
      <c r="B238" s="126" t="s">
        <v>269</v>
      </c>
      <c r="C238" s="4">
        <f t="shared" si="23"/>
        <v>370056.42599999998</v>
      </c>
      <c r="D238" s="6">
        <v>1</v>
      </c>
      <c r="E238" s="82">
        <f t="shared" si="22"/>
        <v>0.12</v>
      </c>
      <c r="F238" s="128">
        <v>2376700.98</v>
      </c>
      <c r="G238" s="128">
        <v>0</v>
      </c>
      <c r="H238" s="128">
        <v>290322.56999999995</v>
      </c>
      <c r="I238" s="128">
        <v>310410.00000000006</v>
      </c>
      <c r="J238" s="128">
        <v>51586</v>
      </c>
      <c r="K238" s="128">
        <v>54784</v>
      </c>
      <c r="L238" s="5">
        <f t="shared" si="24"/>
        <v>3083803.55</v>
      </c>
      <c r="M238" s="2">
        <f>Form!$E$5</f>
        <v>0</v>
      </c>
      <c r="N238" s="5">
        <v>-182989.93</v>
      </c>
      <c r="O238" s="14">
        <f t="shared" si="25"/>
        <v>-182989.93</v>
      </c>
      <c r="P238" s="15" t="e">
        <f t="shared" si="26"/>
        <v>#DIV/0!</v>
      </c>
      <c r="Q238" s="16" t="e">
        <f t="shared" si="27"/>
        <v>#DIV/0!</v>
      </c>
      <c r="U238" s="14"/>
    </row>
    <row r="239" spans="1:21" x14ac:dyDescent="0.25">
      <c r="A239" s="7">
        <v>3906</v>
      </c>
      <c r="B239" s="126" t="s">
        <v>270</v>
      </c>
      <c r="C239" s="4">
        <f t="shared" si="23"/>
        <v>283747.02120000002</v>
      </c>
      <c r="D239" s="6">
        <v>1</v>
      </c>
      <c r="E239" s="82">
        <f t="shared" si="22"/>
        <v>0.12</v>
      </c>
      <c r="F239" s="128">
        <v>2005009.6500000004</v>
      </c>
      <c r="G239" s="128">
        <v>0</v>
      </c>
      <c r="H239" s="128">
        <v>148835.85999999999</v>
      </c>
      <c r="I239" s="128">
        <v>99160.000000000015</v>
      </c>
      <c r="J239" s="128">
        <v>77249</v>
      </c>
      <c r="K239" s="128">
        <v>34304</v>
      </c>
      <c r="L239" s="5">
        <f t="shared" si="24"/>
        <v>2364558.5100000002</v>
      </c>
      <c r="M239" s="2">
        <f>Form!$E$5</f>
        <v>0</v>
      </c>
      <c r="N239" s="5">
        <v>-75679.309999999852</v>
      </c>
      <c r="O239" s="14">
        <f t="shared" si="25"/>
        <v>-75679.309999999852</v>
      </c>
      <c r="P239" s="15" t="e">
        <f t="shared" si="26"/>
        <v>#DIV/0!</v>
      </c>
      <c r="Q239" s="16" t="e">
        <f t="shared" si="27"/>
        <v>#DIV/0!</v>
      </c>
      <c r="U239" s="14"/>
    </row>
    <row r="240" spans="1:21" x14ac:dyDescent="0.25">
      <c r="A240" s="7">
        <v>3907</v>
      </c>
      <c r="B240" s="126" t="s">
        <v>112</v>
      </c>
      <c r="C240" s="4">
        <f t="shared" si="23"/>
        <v>411701.02679999993</v>
      </c>
      <c r="D240" s="6">
        <v>1</v>
      </c>
      <c r="E240" s="82">
        <f t="shared" si="22"/>
        <v>0.12</v>
      </c>
      <c r="F240" s="128">
        <v>2975712.2899999996</v>
      </c>
      <c r="G240" s="128">
        <v>0</v>
      </c>
      <c r="H240" s="128">
        <v>81054.599999999991</v>
      </c>
      <c r="I240" s="128">
        <v>180390</v>
      </c>
      <c r="J240" s="128">
        <v>135302</v>
      </c>
      <c r="K240" s="128">
        <v>58383</v>
      </c>
      <c r="L240" s="5">
        <f t="shared" si="24"/>
        <v>3430841.8899999997</v>
      </c>
      <c r="M240" s="2">
        <f>Form!$E$5</f>
        <v>0</v>
      </c>
      <c r="N240" s="5">
        <v>-420998.25000000023</v>
      </c>
      <c r="O240" s="14">
        <f t="shared" si="25"/>
        <v>-420998.25000000023</v>
      </c>
      <c r="P240" s="15" t="e">
        <f t="shared" si="26"/>
        <v>#DIV/0!</v>
      </c>
      <c r="Q240" s="16" t="e">
        <f t="shared" si="27"/>
        <v>#DIV/0!</v>
      </c>
      <c r="U240" s="14"/>
    </row>
    <row r="241" spans="1:21" x14ac:dyDescent="0.25">
      <c r="A241" s="7">
        <v>3909</v>
      </c>
      <c r="B241" s="126" t="s">
        <v>271</v>
      </c>
      <c r="C241" s="4">
        <f t="shared" si="23"/>
        <v>416387.49359999993</v>
      </c>
      <c r="D241" s="6">
        <v>1</v>
      </c>
      <c r="E241" s="82">
        <f t="shared" si="22"/>
        <v>0.12</v>
      </c>
      <c r="F241" s="128">
        <v>2608715.1899999995</v>
      </c>
      <c r="G241" s="128">
        <v>0</v>
      </c>
      <c r="H241" s="128">
        <v>396279.58999999997</v>
      </c>
      <c r="I241" s="128">
        <v>335070.00000000006</v>
      </c>
      <c r="J241" s="128">
        <v>60199</v>
      </c>
      <c r="K241" s="128">
        <v>69632</v>
      </c>
      <c r="L241" s="5">
        <f t="shared" si="24"/>
        <v>3469895.7799999993</v>
      </c>
      <c r="M241" s="2">
        <f>Form!$E$5</f>
        <v>0</v>
      </c>
      <c r="N241" s="5">
        <v>-108272.58000000051</v>
      </c>
      <c r="O241" s="14">
        <f t="shared" si="25"/>
        <v>-108272.58000000051</v>
      </c>
      <c r="P241" s="15" t="e">
        <f t="shared" si="26"/>
        <v>#DIV/0!</v>
      </c>
      <c r="Q241" s="16" t="e">
        <f t="shared" si="27"/>
        <v>#DIV/0!</v>
      </c>
      <c r="U241" s="14"/>
    </row>
    <row r="242" spans="1:21" x14ac:dyDescent="0.25">
      <c r="A242" s="7">
        <v>3910</v>
      </c>
      <c r="B242" s="126" t="s">
        <v>113</v>
      </c>
      <c r="C242" s="4">
        <f t="shared" si="23"/>
        <v>473019.50279999996</v>
      </c>
      <c r="D242" s="6">
        <v>1</v>
      </c>
      <c r="E242" s="82">
        <f t="shared" si="22"/>
        <v>0.12</v>
      </c>
      <c r="F242" s="128">
        <v>3164224.98</v>
      </c>
      <c r="G242" s="128">
        <v>0</v>
      </c>
      <c r="H242" s="128">
        <v>433173.2099999999</v>
      </c>
      <c r="I242" s="128">
        <v>222150.00000000006</v>
      </c>
      <c r="J242" s="128">
        <v>109276</v>
      </c>
      <c r="K242" s="128">
        <v>13005</v>
      </c>
      <c r="L242" s="5">
        <f t="shared" si="24"/>
        <v>3941829.19</v>
      </c>
      <c r="M242" s="2">
        <f>Form!$E$5</f>
        <v>0</v>
      </c>
      <c r="N242" s="5">
        <v>-57025.889999999694</v>
      </c>
      <c r="O242" s="14">
        <f t="shared" si="25"/>
        <v>-57025.889999999694</v>
      </c>
      <c r="P242" s="15" t="e">
        <f t="shared" si="26"/>
        <v>#DIV/0!</v>
      </c>
      <c r="Q242" s="16" t="e">
        <f t="shared" si="27"/>
        <v>#DIV/0!</v>
      </c>
      <c r="U242" s="14"/>
    </row>
    <row r="243" spans="1:21" x14ac:dyDescent="0.25">
      <c r="A243" s="7">
        <v>3916</v>
      </c>
      <c r="B243" s="126" t="s">
        <v>114</v>
      </c>
      <c r="C243" s="4">
        <f t="shared" ref="C243:C297" si="28">IF(D243=1,L243*0.12,IF(D243=3,L243*0.085,L243*0.075))</f>
        <v>296142.70559999999</v>
      </c>
      <c r="D243" s="6">
        <v>1</v>
      </c>
      <c r="E243" s="82">
        <f t="shared" ref="E243:E297" si="29">IF(D243=1,0.12,IF(D243=4,0.085,0.075))</f>
        <v>0.12</v>
      </c>
      <c r="F243" s="128">
        <v>2093265.28</v>
      </c>
      <c r="G243" s="128">
        <v>0</v>
      </c>
      <c r="H243" s="128">
        <v>29983.600000000006</v>
      </c>
      <c r="I243" s="128">
        <v>266160</v>
      </c>
      <c r="J243" s="128">
        <v>43631</v>
      </c>
      <c r="K243" s="128">
        <v>34816</v>
      </c>
      <c r="L243" s="5">
        <f t="shared" si="24"/>
        <v>2467855.88</v>
      </c>
      <c r="M243" s="2">
        <f>Form!$E$5</f>
        <v>0</v>
      </c>
      <c r="N243" s="5">
        <v>-91620.510000000882</v>
      </c>
      <c r="O243" s="14">
        <f t="shared" si="25"/>
        <v>-91620.510000000882</v>
      </c>
      <c r="P243" s="15" t="e">
        <f t="shared" si="26"/>
        <v>#DIV/0!</v>
      </c>
      <c r="Q243" s="16" t="e">
        <f t="shared" si="27"/>
        <v>#DIV/0!</v>
      </c>
      <c r="U243" s="14"/>
    </row>
    <row r="244" spans="1:21" x14ac:dyDescent="0.25">
      <c r="A244" s="7">
        <v>3917</v>
      </c>
      <c r="B244" s="126" t="s">
        <v>272</v>
      </c>
      <c r="C244" s="4">
        <f t="shared" si="28"/>
        <v>653091.37319999991</v>
      </c>
      <c r="D244" s="6">
        <v>1</v>
      </c>
      <c r="E244" s="82">
        <f t="shared" si="29"/>
        <v>0.12</v>
      </c>
      <c r="F244" s="128">
        <v>4196845.5999999996</v>
      </c>
      <c r="G244" s="128">
        <v>0</v>
      </c>
      <c r="H244" s="128">
        <v>553542.83000000007</v>
      </c>
      <c r="I244" s="128">
        <v>498428.68</v>
      </c>
      <c r="J244" s="128">
        <v>113227</v>
      </c>
      <c r="K244" s="128">
        <v>80384</v>
      </c>
      <c r="L244" s="5">
        <f t="shared" si="24"/>
        <v>5442428.1099999994</v>
      </c>
      <c r="M244" s="2">
        <f>Form!$E$5</f>
        <v>0</v>
      </c>
      <c r="N244" s="5">
        <v>-416864.29999999865</v>
      </c>
      <c r="O244" s="14">
        <f t="shared" si="25"/>
        <v>-416864.29999999865</v>
      </c>
      <c r="P244" s="15" t="e">
        <f t="shared" si="26"/>
        <v>#DIV/0!</v>
      </c>
      <c r="Q244" s="16" t="e">
        <f t="shared" si="27"/>
        <v>#DIV/0!</v>
      </c>
      <c r="U244" s="14"/>
    </row>
    <row r="245" spans="1:21" x14ac:dyDescent="0.25">
      <c r="A245" s="7">
        <v>3920</v>
      </c>
      <c r="B245" s="126" t="s">
        <v>273</v>
      </c>
      <c r="C245" s="4">
        <f t="shared" si="28"/>
        <v>172493.796</v>
      </c>
      <c r="D245" s="6">
        <v>1</v>
      </c>
      <c r="E245" s="82">
        <f t="shared" si="29"/>
        <v>0.12</v>
      </c>
      <c r="F245" s="128">
        <v>1159238.77</v>
      </c>
      <c r="G245" s="128">
        <v>0</v>
      </c>
      <c r="H245" s="128">
        <v>111904.53</v>
      </c>
      <c r="I245" s="128">
        <v>119880</v>
      </c>
      <c r="J245" s="128">
        <v>37619</v>
      </c>
      <c r="K245" s="128">
        <v>8806</v>
      </c>
      <c r="L245" s="5">
        <f t="shared" si="24"/>
        <v>1437448.3</v>
      </c>
      <c r="M245" s="2">
        <f>Form!$E$5</f>
        <v>0</v>
      </c>
      <c r="N245" s="5">
        <v>-78597.549999999916</v>
      </c>
      <c r="O245" s="14">
        <f t="shared" si="25"/>
        <v>-78597.549999999916</v>
      </c>
      <c r="P245" s="15" t="e">
        <f t="shared" si="26"/>
        <v>#DIV/0!</v>
      </c>
      <c r="Q245" s="16" t="e">
        <f t="shared" si="27"/>
        <v>#DIV/0!</v>
      </c>
      <c r="U245" s="14"/>
    </row>
    <row r="246" spans="1:21" x14ac:dyDescent="0.25">
      <c r="A246" s="7">
        <v>4026</v>
      </c>
      <c r="B246" s="126" t="s">
        <v>274</v>
      </c>
      <c r="C246" s="4">
        <f t="shared" si="28"/>
        <v>490646.38199999998</v>
      </c>
      <c r="D246" s="6">
        <v>2</v>
      </c>
      <c r="E246" s="82">
        <f t="shared" si="29"/>
        <v>7.4999999999999997E-2</v>
      </c>
      <c r="F246" s="128">
        <v>5222542.5</v>
      </c>
      <c r="G246" s="128">
        <v>761972</v>
      </c>
      <c r="H246" s="128">
        <v>172187.26</v>
      </c>
      <c r="I246" s="128">
        <v>191764</v>
      </c>
      <c r="J246" s="128">
        <v>0</v>
      </c>
      <c r="K246" s="128">
        <v>193486</v>
      </c>
      <c r="L246" s="5">
        <f t="shared" si="24"/>
        <v>6541951.7599999998</v>
      </c>
      <c r="M246" s="2">
        <f>Form!$E$5</f>
        <v>0</v>
      </c>
      <c r="N246" s="5">
        <v>-275539.77000000066</v>
      </c>
      <c r="O246" s="14">
        <f t="shared" si="25"/>
        <v>-275539.77000000066</v>
      </c>
      <c r="P246" s="15" t="e">
        <f t="shared" si="26"/>
        <v>#DIV/0!</v>
      </c>
      <c r="Q246" s="16" t="e">
        <f t="shared" si="27"/>
        <v>#DIV/0!</v>
      </c>
      <c r="U246" s="14"/>
    </row>
    <row r="247" spans="1:21" x14ac:dyDescent="0.25">
      <c r="A247" s="7">
        <v>4040</v>
      </c>
      <c r="B247" s="126" t="s">
        <v>275</v>
      </c>
      <c r="C247" s="4">
        <f t="shared" si="28"/>
        <v>702257.25300000014</v>
      </c>
      <c r="D247" s="6">
        <v>2</v>
      </c>
      <c r="E247" s="82">
        <f t="shared" si="29"/>
        <v>7.4999999999999997E-2</v>
      </c>
      <c r="F247" s="128">
        <v>7575774.8800000018</v>
      </c>
      <c r="G247" s="128">
        <v>1296068</v>
      </c>
      <c r="H247" s="128">
        <v>74737.16</v>
      </c>
      <c r="I247" s="128">
        <v>389714</v>
      </c>
      <c r="J247" s="128">
        <v>0</v>
      </c>
      <c r="K247" s="128">
        <v>27136</v>
      </c>
      <c r="L247" s="5">
        <f t="shared" si="24"/>
        <v>9363430.0400000028</v>
      </c>
      <c r="M247" s="2">
        <f>Form!$E$5</f>
        <v>0</v>
      </c>
      <c r="N247" s="5">
        <v>-623636.5400000033</v>
      </c>
      <c r="O247" s="14">
        <f t="shared" si="25"/>
        <v>-623636.5400000033</v>
      </c>
      <c r="P247" s="15" t="e">
        <f t="shared" si="26"/>
        <v>#DIV/0!</v>
      </c>
      <c r="Q247" s="16" t="e">
        <f t="shared" si="27"/>
        <v>#DIV/0!</v>
      </c>
      <c r="U247" s="14"/>
    </row>
    <row r="248" spans="1:21" x14ac:dyDescent="0.25">
      <c r="A248" s="7">
        <v>4043</v>
      </c>
      <c r="B248" s="126" t="s">
        <v>115</v>
      </c>
      <c r="C248" s="4">
        <f t="shared" si="28"/>
        <v>486973.78874999989</v>
      </c>
      <c r="D248" s="6">
        <v>2</v>
      </c>
      <c r="E248" s="82">
        <f t="shared" si="29"/>
        <v>7.4999999999999997E-2</v>
      </c>
      <c r="F248" s="128">
        <v>4920756.2399999984</v>
      </c>
      <c r="G248" s="128">
        <v>1421889</v>
      </c>
      <c r="H248" s="128">
        <v>79422.610000000015</v>
      </c>
      <c r="I248" s="128">
        <v>22020</v>
      </c>
      <c r="J248" s="128">
        <v>0</v>
      </c>
      <c r="K248" s="128">
        <v>48896</v>
      </c>
      <c r="L248" s="5">
        <f t="shared" si="24"/>
        <v>6492983.8499999987</v>
      </c>
      <c r="M248" s="2">
        <f>Form!$E$5</f>
        <v>0</v>
      </c>
      <c r="N248" s="5">
        <v>-224020.48999999929</v>
      </c>
      <c r="O248" s="14">
        <f t="shared" si="25"/>
        <v>-224020.48999999929</v>
      </c>
      <c r="P248" s="15" t="e">
        <f t="shared" si="26"/>
        <v>#DIV/0!</v>
      </c>
      <c r="Q248" s="16" t="e">
        <f t="shared" si="27"/>
        <v>#DIV/0!</v>
      </c>
      <c r="U248" s="14"/>
    </row>
    <row r="249" spans="1:21" x14ac:dyDescent="0.25">
      <c r="A249" s="7">
        <v>4045</v>
      </c>
      <c r="B249" s="126" t="s">
        <v>116</v>
      </c>
      <c r="C249" s="4">
        <f t="shared" si="28"/>
        <v>845829.46950000001</v>
      </c>
      <c r="D249" s="6">
        <v>2</v>
      </c>
      <c r="E249" s="82">
        <f t="shared" si="29"/>
        <v>7.4999999999999997E-2</v>
      </c>
      <c r="F249" s="128">
        <v>9160277.9700000007</v>
      </c>
      <c r="G249" s="128">
        <v>1819972</v>
      </c>
      <c r="H249" s="128">
        <v>8096.2900000000027</v>
      </c>
      <c r="I249" s="128">
        <v>87140</v>
      </c>
      <c r="J249" s="128">
        <v>0</v>
      </c>
      <c r="K249" s="128">
        <v>202240</v>
      </c>
      <c r="L249" s="5">
        <f t="shared" si="24"/>
        <v>11277726.26</v>
      </c>
      <c r="M249" s="2">
        <f>Form!$E$5</f>
        <v>0</v>
      </c>
      <c r="N249" s="5">
        <v>-1255405.6000000029</v>
      </c>
      <c r="O249" s="14">
        <f t="shared" si="25"/>
        <v>-1255405.6000000029</v>
      </c>
      <c r="P249" s="15" t="e">
        <f t="shared" si="26"/>
        <v>#DIV/0!</v>
      </c>
      <c r="Q249" s="16" t="e">
        <f t="shared" si="27"/>
        <v>#DIV/0!</v>
      </c>
      <c r="U249" s="14"/>
    </row>
    <row r="250" spans="1:21" x14ac:dyDescent="0.25">
      <c r="A250" s="7">
        <v>4109</v>
      </c>
      <c r="B250" s="126" t="s">
        <v>117</v>
      </c>
      <c r="C250" s="4">
        <f t="shared" si="28"/>
        <v>426825.91274999996</v>
      </c>
      <c r="D250" s="6">
        <v>2</v>
      </c>
      <c r="E250" s="82">
        <f t="shared" si="29"/>
        <v>7.4999999999999997E-2</v>
      </c>
      <c r="F250" s="128">
        <v>4316820.42</v>
      </c>
      <c r="G250" s="128">
        <v>1115564</v>
      </c>
      <c r="H250" s="128">
        <v>49673.75</v>
      </c>
      <c r="I250" s="128">
        <v>129082</v>
      </c>
      <c r="J250" s="128">
        <v>0</v>
      </c>
      <c r="K250" s="128">
        <v>79872</v>
      </c>
      <c r="L250" s="5">
        <f t="shared" si="24"/>
        <v>5691012.1699999999</v>
      </c>
      <c r="M250" s="2">
        <f>Form!$E$5</f>
        <v>0</v>
      </c>
      <c r="N250" s="5">
        <v>-164963.35000000126</v>
      </c>
      <c r="O250" s="14">
        <f t="shared" si="25"/>
        <v>-164963.35000000126</v>
      </c>
      <c r="P250" s="15" t="e">
        <f t="shared" si="26"/>
        <v>#DIV/0!</v>
      </c>
      <c r="Q250" s="16" t="e">
        <f t="shared" si="27"/>
        <v>#DIV/0!</v>
      </c>
      <c r="U250" s="14"/>
    </row>
    <row r="251" spans="1:21" x14ac:dyDescent="0.25">
      <c r="A251" s="7">
        <v>4522</v>
      </c>
      <c r="B251" s="126" t="s">
        <v>276</v>
      </c>
      <c r="C251" s="4">
        <f t="shared" si="28"/>
        <v>665822.31149999995</v>
      </c>
      <c r="D251" s="6">
        <v>2</v>
      </c>
      <c r="E251" s="82">
        <f t="shared" si="29"/>
        <v>7.4999999999999997E-2</v>
      </c>
      <c r="F251" s="128">
        <v>6786754.8200000003</v>
      </c>
      <c r="G251" s="128">
        <v>1971036</v>
      </c>
      <c r="H251" s="128">
        <v>0</v>
      </c>
      <c r="I251" s="128">
        <v>84000</v>
      </c>
      <c r="J251" s="128">
        <v>0</v>
      </c>
      <c r="K251" s="128">
        <v>35840</v>
      </c>
      <c r="L251" s="5">
        <f t="shared" si="24"/>
        <v>8877630.8200000003</v>
      </c>
      <c r="M251" s="2">
        <f>Form!$E$5</f>
        <v>0</v>
      </c>
      <c r="N251" s="5">
        <v>-790336.24000000197</v>
      </c>
      <c r="O251" s="14">
        <f t="shared" si="25"/>
        <v>-790336.24000000197</v>
      </c>
      <c r="P251" s="15" t="e">
        <f t="shared" si="26"/>
        <v>#DIV/0!</v>
      </c>
      <c r="Q251" s="16" t="e">
        <f t="shared" si="27"/>
        <v>#DIV/0!</v>
      </c>
      <c r="U251" s="14"/>
    </row>
    <row r="252" spans="1:21" x14ac:dyDescent="0.25">
      <c r="A252" s="7">
        <v>4523</v>
      </c>
      <c r="B252" s="126" t="s">
        <v>118</v>
      </c>
      <c r="C252" s="4">
        <f t="shared" si="28"/>
        <v>592640.81249999988</v>
      </c>
      <c r="D252" s="6">
        <v>2</v>
      </c>
      <c r="E252" s="82">
        <f t="shared" si="29"/>
        <v>7.4999999999999997E-2</v>
      </c>
      <c r="F252" s="128">
        <v>5897688.959999999</v>
      </c>
      <c r="G252" s="128">
        <v>1861322</v>
      </c>
      <c r="H252" s="128">
        <v>7634.04</v>
      </c>
      <c r="I252" s="128">
        <v>99904.5</v>
      </c>
      <c r="J252" s="128">
        <v>0</v>
      </c>
      <c r="K252" s="128">
        <v>35328</v>
      </c>
      <c r="L252" s="5">
        <f t="shared" si="24"/>
        <v>7901877.4999999991</v>
      </c>
      <c r="M252" s="2">
        <f>Form!$E$5</f>
        <v>0</v>
      </c>
      <c r="N252" s="5">
        <v>-2745148.6199999969</v>
      </c>
      <c r="O252" s="14">
        <f t="shared" si="25"/>
        <v>-2745148.6199999969</v>
      </c>
      <c r="P252" s="15" t="e">
        <f t="shared" si="26"/>
        <v>#DIV/0!</v>
      </c>
      <c r="Q252" s="16" t="e">
        <f t="shared" si="27"/>
        <v>#DIV/0!</v>
      </c>
      <c r="U252" s="14"/>
    </row>
    <row r="253" spans="1:21" x14ac:dyDescent="0.25">
      <c r="A253" s="7">
        <v>4534</v>
      </c>
      <c r="B253" s="126" t="s">
        <v>119</v>
      </c>
      <c r="C253" s="4">
        <f t="shared" si="28"/>
        <v>605451.85950000002</v>
      </c>
      <c r="D253" s="6">
        <v>2</v>
      </c>
      <c r="E253" s="82">
        <f t="shared" si="29"/>
        <v>7.4999999999999997E-2</v>
      </c>
      <c r="F253" s="128">
        <v>5759997.6799999997</v>
      </c>
      <c r="G253" s="128">
        <v>1929856.24</v>
      </c>
      <c r="H253" s="128">
        <v>67497.540000000008</v>
      </c>
      <c r="I253" s="128">
        <v>100300</v>
      </c>
      <c r="J253" s="128">
        <v>0</v>
      </c>
      <c r="K253" s="128">
        <v>215040</v>
      </c>
      <c r="L253" s="5">
        <f t="shared" si="24"/>
        <v>8072691.46</v>
      </c>
      <c r="M253" s="2">
        <f>Form!$E$5</f>
        <v>0</v>
      </c>
      <c r="N253" s="5">
        <v>-892697.31000000378</v>
      </c>
      <c r="O253" s="14">
        <f t="shared" si="25"/>
        <v>-892697.31000000378</v>
      </c>
      <c r="P253" s="15" t="e">
        <f t="shared" si="26"/>
        <v>#DIV/0!</v>
      </c>
      <c r="Q253" s="16" t="e">
        <f t="shared" si="27"/>
        <v>#DIV/0!</v>
      </c>
      <c r="U253" s="14"/>
    </row>
    <row r="254" spans="1:21" x14ac:dyDescent="0.25">
      <c r="A254" s="7">
        <v>4622</v>
      </c>
      <c r="B254" s="126" t="s">
        <v>277</v>
      </c>
      <c r="C254" s="4">
        <f t="shared" si="28"/>
        <v>737959.43924999994</v>
      </c>
      <c r="D254" s="6">
        <v>2</v>
      </c>
      <c r="E254" s="82">
        <f t="shared" si="29"/>
        <v>7.4999999999999997E-2</v>
      </c>
      <c r="F254" s="128">
        <v>6385093.9699999997</v>
      </c>
      <c r="G254" s="128">
        <v>3141600</v>
      </c>
      <c r="H254" s="128">
        <v>225249.21999999997</v>
      </c>
      <c r="I254" s="128">
        <v>33244</v>
      </c>
      <c r="J254" s="128">
        <v>0</v>
      </c>
      <c r="K254" s="128">
        <v>54272</v>
      </c>
      <c r="L254" s="5">
        <f t="shared" si="24"/>
        <v>9839459.1899999995</v>
      </c>
      <c r="M254" s="2">
        <f>Form!$E$5</f>
        <v>0</v>
      </c>
      <c r="N254" s="5">
        <v>-386551.15000000037</v>
      </c>
      <c r="O254" s="14">
        <f t="shared" si="25"/>
        <v>-386551.15000000037</v>
      </c>
      <c r="P254" s="15" t="e">
        <f t="shared" si="26"/>
        <v>#DIV/0!</v>
      </c>
      <c r="Q254" s="16" t="e">
        <f t="shared" si="27"/>
        <v>#DIV/0!</v>
      </c>
      <c r="U254" s="14"/>
    </row>
    <row r="255" spans="1:21" x14ac:dyDescent="0.25">
      <c r="A255" s="7">
        <v>5200</v>
      </c>
      <c r="B255" s="126" t="s">
        <v>278</v>
      </c>
      <c r="C255" s="4">
        <f t="shared" si="28"/>
        <v>293448.33</v>
      </c>
      <c r="D255" s="6">
        <v>1</v>
      </c>
      <c r="E255" s="82">
        <f t="shared" si="29"/>
        <v>0.12</v>
      </c>
      <c r="F255" s="128">
        <v>2063793.94</v>
      </c>
      <c r="G255" s="128">
        <v>0</v>
      </c>
      <c r="H255" s="128">
        <v>107584.80999999998</v>
      </c>
      <c r="I255" s="128">
        <v>201985</v>
      </c>
      <c r="J255" s="128">
        <v>63489</v>
      </c>
      <c r="K255" s="128">
        <v>8550</v>
      </c>
      <c r="L255" s="5">
        <f t="shared" si="24"/>
        <v>2445402.75</v>
      </c>
      <c r="M255" s="2">
        <f>Form!$E$5</f>
        <v>0</v>
      </c>
      <c r="N255" s="5">
        <v>-192789.72000000029</v>
      </c>
      <c r="O255" s="14">
        <f t="shared" si="25"/>
        <v>-192789.72000000029</v>
      </c>
      <c r="P255" s="15" t="e">
        <f t="shared" si="26"/>
        <v>#DIV/0!</v>
      </c>
      <c r="Q255" s="16" t="e">
        <f t="shared" si="27"/>
        <v>#DIV/0!</v>
      </c>
      <c r="U255" s="14"/>
    </row>
    <row r="256" spans="1:21" x14ac:dyDescent="0.25">
      <c r="A256" s="7">
        <v>5201</v>
      </c>
      <c r="B256" s="126" t="s">
        <v>120</v>
      </c>
      <c r="C256" s="4">
        <f t="shared" si="28"/>
        <v>184794.0252</v>
      </c>
      <c r="D256" s="6">
        <v>1</v>
      </c>
      <c r="E256" s="82">
        <f t="shared" si="29"/>
        <v>0.12</v>
      </c>
      <c r="F256" s="128">
        <v>1329303.9200000002</v>
      </c>
      <c r="G256" s="128">
        <v>0</v>
      </c>
      <c r="H256" s="128">
        <v>55298.29</v>
      </c>
      <c r="I256" s="128">
        <v>92000</v>
      </c>
      <c r="J256" s="128">
        <v>56897</v>
      </c>
      <c r="K256" s="128">
        <v>6451</v>
      </c>
      <c r="L256" s="5">
        <f t="shared" ref="L256:L278" si="30">SUM(F256:K256)</f>
        <v>1539950.2100000002</v>
      </c>
      <c r="M256" s="2">
        <f>Form!$E$5</f>
        <v>0</v>
      </c>
      <c r="N256" s="5">
        <v>-216060.28000000052</v>
      </c>
      <c r="O256" s="14">
        <f t="shared" si="25"/>
        <v>-216060.28000000052</v>
      </c>
      <c r="P256" s="15" t="e">
        <f t="shared" si="26"/>
        <v>#DIV/0!</v>
      </c>
      <c r="Q256" s="16" t="e">
        <f t="shared" si="27"/>
        <v>#DIV/0!</v>
      </c>
      <c r="U256" s="14"/>
    </row>
    <row r="257" spans="1:21" x14ac:dyDescent="0.25">
      <c r="A257" s="7">
        <v>5203</v>
      </c>
      <c r="B257" s="126" t="s">
        <v>121</v>
      </c>
      <c r="C257" s="4">
        <f t="shared" si="28"/>
        <v>268938.0612</v>
      </c>
      <c r="D257" s="6">
        <v>1</v>
      </c>
      <c r="E257" s="82">
        <f t="shared" si="29"/>
        <v>0.12</v>
      </c>
      <c r="F257" s="128">
        <v>2048766.2600000002</v>
      </c>
      <c r="G257" s="128">
        <v>0</v>
      </c>
      <c r="H257" s="128">
        <v>135502.25</v>
      </c>
      <c r="I257" s="128">
        <v>30690</v>
      </c>
      <c r="J257" s="128">
        <v>20253</v>
      </c>
      <c r="K257" s="128">
        <v>5939</v>
      </c>
      <c r="L257" s="5">
        <f t="shared" si="30"/>
        <v>2241150.5100000002</v>
      </c>
      <c r="M257" s="2">
        <f>Form!$E$5</f>
        <v>0</v>
      </c>
      <c r="N257" s="5">
        <v>-84389</v>
      </c>
      <c r="O257" s="14">
        <f t="shared" si="25"/>
        <v>-84389</v>
      </c>
      <c r="P257" s="15" t="e">
        <f t="shared" si="26"/>
        <v>#DIV/0!</v>
      </c>
      <c r="Q257" s="16" t="e">
        <f t="shared" si="27"/>
        <v>#DIV/0!</v>
      </c>
      <c r="U257" s="14"/>
    </row>
    <row r="258" spans="1:21" x14ac:dyDescent="0.25">
      <c r="A258" s="7">
        <v>5206</v>
      </c>
      <c r="B258" s="126" t="s">
        <v>122</v>
      </c>
      <c r="C258" s="4">
        <f t="shared" si="28"/>
        <v>294059.53320000001</v>
      </c>
      <c r="D258" s="6">
        <v>1</v>
      </c>
      <c r="E258" s="82">
        <f t="shared" si="29"/>
        <v>0.12</v>
      </c>
      <c r="F258" s="128">
        <v>2048991.9600000002</v>
      </c>
      <c r="G258" s="128">
        <v>0</v>
      </c>
      <c r="H258" s="128">
        <v>103649.44000000002</v>
      </c>
      <c r="I258" s="128">
        <v>267957.71000000008</v>
      </c>
      <c r="J258" s="128">
        <v>20015</v>
      </c>
      <c r="K258" s="128">
        <v>9882</v>
      </c>
      <c r="L258" s="5">
        <f t="shared" si="30"/>
        <v>2450496.1100000003</v>
      </c>
      <c r="M258" s="2">
        <f>Form!$E$5</f>
        <v>0</v>
      </c>
      <c r="N258" s="5">
        <v>-135155.49000000005</v>
      </c>
      <c r="O258" s="14">
        <f t="shared" si="25"/>
        <v>-135155.49000000005</v>
      </c>
      <c r="P258" s="15" t="e">
        <f t="shared" si="26"/>
        <v>#DIV/0!</v>
      </c>
      <c r="Q258" s="16" t="e">
        <f t="shared" si="27"/>
        <v>#DIV/0!</v>
      </c>
      <c r="U258" s="14"/>
    </row>
    <row r="259" spans="1:21" x14ac:dyDescent="0.25">
      <c r="A259" s="7">
        <v>5207</v>
      </c>
      <c r="B259" s="126" t="s">
        <v>123</v>
      </c>
      <c r="C259" s="4">
        <f t="shared" si="28"/>
        <v>269644.12800000003</v>
      </c>
      <c r="D259" s="6">
        <v>1</v>
      </c>
      <c r="E259" s="82">
        <f t="shared" si="29"/>
        <v>0.12</v>
      </c>
      <c r="F259" s="128">
        <v>1985582.2100000002</v>
      </c>
      <c r="G259" s="128">
        <v>0</v>
      </c>
      <c r="H259" s="128">
        <v>65187.19</v>
      </c>
      <c r="I259" s="128">
        <v>98380</v>
      </c>
      <c r="J259" s="128">
        <v>86519</v>
      </c>
      <c r="K259" s="128">
        <v>11366</v>
      </c>
      <c r="L259" s="5">
        <f t="shared" si="30"/>
        <v>2247034.4000000004</v>
      </c>
      <c r="M259" s="2">
        <f>Form!$E$5</f>
        <v>0</v>
      </c>
      <c r="N259" s="5">
        <v>-93422.4300000004</v>
      </c>
      <c r="O259" s="14">
        <f t="shared" si="25"/>
        <v>-93422.4300000004</v>
      </c>
      <c r="P259" s="15" t="e">
        <f t="shared" si="26"/>
        <v>#DIV/0!</v>
      </c>
      <c r="Q259" s="16" t="e">
        <f t="shared" si="27"/>
        <v>#DIV/0!</v>
      </c>
      <c r="U259" s="14"/>
    </row>
    <row r="260" spans="1:21" x14ac:dyDescent="0.25">
      <c r="A260" s="7">
        <v>5212</v>
      </c>
      <c r="B260" s="126" t="s">
        <v>124</v>
      </c>
      <c r="C260" s="4">
        <f t="shared" si="28"/>
        <v>128426.90639999996</v>
      </c>
      <c r="D260" s="6">
        <v>1</v>
      </c>
      <c r="E260" s="82">
        <f t="shared" si="29"/>
        <v>0.12</v>
      </c>
      <c r="F260" s="128">
        <v>888320.2899999998</v>
      </c>
      <c r="G260" s="128">
        <v>0</v>
      </c>
      <c r="H260" s="128">
        <v>58523.930000000008</v>
      </c>
      <c r="I260" s="128">
        <v>55770.000000000007</v>
      </c>
      <c r="J260" s="128">
        <v>63668</v>
      </c>
      <c r="K260" s="128">
        <v>3942</v>
      </c>
      <c r="L260" s="5">
        <f t="shared" si="30"/>
        <v>1070224.2199999997</v>
      </c>
      <c r="M260" s="2">
        <f>Form!$E$5</f>
        <v>0</v>
      </c>
      <c r="N260" s="5">
        <v>-120845.53</v>
      </c>
      <c r="O260" s="14">
        <f t="shared" si="25"/>
        <v>-120845.53</v>
      </c>
      <c r="P260" s="15" t="e">
        <f t="shared" si="26"/>
        <v>#DIV/0!</v>
      </c>
      <c r="Q260" s="16" t="e">
        <f t="shared" si="27"/>
        <v>#DIV/0!</v>
      </c>
      <c r="U260" s="14"/>
    </row>
    <row r="261" spans="1:21" x14ac:dyDescent="0.25">
      <c r="A261" s="7">
        <v>5213</v>
      </c>
      <c r="B261" s="126" t="s">
        <v>279</v>
      </c>
      <c r="C261" s="4">
        <f t="shared" si="28"/>
        <v>293912.5932</v>
      </c>
      <c r="D261" s="6">
        <v>1</v>
      </c>
      <c r="E261" s="82">
        <f t="shared" si="29"/>
        <v>0.12</v>
      </c>
      <c r="F261" s="128">
        <v>2161575.7000000002</v>
      </c>
      <c r="G261" s="128">
        <v>0</v>
      </c>
      <c r="H261" s="128">
        <v>89398.909999999989</v>
      </c>
      <c r="I261" s="128">
        <v>112450.00000000001</v>
      </c>
      <c r="J261" s="128">
        <v>77297</v>
      </c>
      <c r="K261" s="128">
        <v>8550</v>
      </c>
      <c r="L261" s="5">
        <f t="shared" si="30"/>
        <v>2449271.6100000003</v>
      </c>
      <c r="M261" s="2">
        <f>Form!$E$5</f>
        <v>0</v>
      </c>
      <c r="N261" s="5">
        <v>-201506.02000000051</v>
      </c>
      <c r="O261" s="14">
        <f t="shared" si="25"/>
        <v>-201506.02000000051</v>
      </c>
      <c r="P261" s="15" t="e">
        <f t="shared" si="26"/>
        <v>#DIV/0!</v>
      </c>
      <c r="Q261" s="16" t="e">
        <f t="shared" si="27"/>
        <v>#DIV/0!</v>
      </c>
      <c r="U261" s="14"/>
    </row>
    <row r="262" spans="1:21" x14ac:dyDescent="0.25">
      <c r="A262" s="7">
        <v>5214</v>
      </c>
      <c r="B262" s="126" t="s">
        <v>280</v>
      </c>
      <c r="C262" s="4">
        <f t="shared" si="28"/>
        <v>246436.83239999996</v>
      </c>
      <c r="D262" s="6">
        <v>1</v>
      </c>
      <c r="E262" s="82">
        <f t="shared" si="29"/>
        <v>0.12</v>
      </c>
      <c r="F262" s="128">
        <v>1787048.4599999997</v>
      </c>
      <c r="G262" s="128">
        <v>0</v>
      </c>
      <c r="H262" s="128">
        <v>83797.81</v>
      </c>
      <c r="I262" s="128">
        <v>106850.00000000001</v>
      </c>
      <c r="J262" s="128">
        <v>69749</v>
      </c>
      <c r="K262" s="128">
        <v>6195</v>
      </c>
      <c r="L262" s="5">
        <f t="shared" si="30"/>
        <v>2053640.2699999998</v>
      </c>
      <c r="M262" s="2">
        <f>Form!$E$5</f>
        <v>0</v>
      </c>
      <c r="N262" s="5">
        <v>-146210.75000000012</v>
      </c>
      <c r="O262" s="14">
        <f t="shared" si="25"/>
        <v>-146210.75000000012</v>
      </c>
      <c r="P262" s="15" t="e">
        <f t="shared" si="26"/>
        <v>#DIV/0!</v>
      </c>
      <c r="Q262" s="16" t="e">
        <f t="shared" si="27"/>
        <v>#DIV/0!</v>
      </c>
      <c r="U262" s="14"/>
    </row>
    <row r="263" spans="1:21" x14ac:dyDescent="0.25">
      <c r="A263" s="7">
        <v>5218</v>
      </c>
      <c r="B263" s="126" t="s">
        <v>125</v>
      </c>
      <c r="C263" s="4">
        <f t="shared" si="28"/>
        <v>197724.44999999992</v>
      </c>
      <c r="D263" s="6">
        <v>1</v>
      </c>
      <c r="E263" s="82">
        <f t="shared" si="29"/>
        <v>0.12</v>
      </c>
      <c r="F263" s="128">
        <v>1393797.5299999996</v>
      </c>
      <c r="G263" s="128">
        <v>0</v>
      </c>
      <c r="H263" s="128">
        <v>96310.22</v>
      </c>
      <c r="I263" s="128">
        <v>108660</v>
      </c>
      <c r="J263" s="128">
        <v>40590</v>
      </c>
      <c r="K263" s="128">
        <v>8346</v>
      </c>
      <c r="L263" s="5">
        <f t="shared" si="30"/>
        <v>1647703.7499999995</v>
      </c>
      <c r="M263" s="2">
        <f>Form!$E$5</f>
        <v>0</v>
      </c>
      <c r="N263" s="5">
        <v>-163529.93999999927</v>
      </c>
      <c r="O263" s="14">
        <f t="shared" si="25"/>
        <v>-163529.93999999927</v>
      </c>
      <c r="P263" s="15" t="e">
        <f t="shared" si="26"/>
        <v>#DIV/0!</v>
      </c>
      <c r="Q263" s="16" t="e">
        <f t="shared" si="27"/>
        <v>#DIV/0!</v>
      </c>
      <c r="U263" s="14"/>
    </row>
    <row r="264" spans="1:21" x14ac:dyDescent="0.25">
      <c r="A264" s="7">
        <v>5221</v>
      </c>
      <c r="B264" s="126" t="s">
        <v>126</v>
      </c>
      <c r="C264" s="4">
        <f t="shared" si="28"/>
        <v>343730.84039999999</v>
      </c>
      <c r="D264" s="6">
        <v>1</v>
      </c>
      <c r="E264" s="82">
        <f t="shared" si="29"/>
        <v>0.12</v>
      </c>
      <c r="F264" s="128">
        <v>2361703.5</v>
      </c>
      <c r="G264" s="128">
        <v>0</v>
      </c>
      <c r="H264" s="128">
        <v>215431.17</v>
      </c>
      <c r="I264" s="128">
        <v>221090</v>
      </c>
      <c r="J264" s="128">
        <v>58929</v>
      </c>
      <c r="K264" s="128">
        <v>7270</v>
      </c>
      <c r="L264" s="5">
        <f t="shared" si="30"/>
        <v>2864423.67</v>
      </c>
      <c r="M264" s="2">
        <f>Form!$E$5</f>
        <v>0</v>
      </c>
      <c r="N264" s="5">
        <v>-173342.24000000057</v>
      </c>
      <c r="O264" s="14">
        <f t="shared" si="25"/>
        <v>-173342.24000000057</v>
      </c>
      <c r="P264" s="15" t="e">
        <f t="shared" si="26"/>
        <v>#DIV/0!</v>
      </c>
      <c r="Q264" s="16" t="e">
        <f t="shared" si="27"/>
        <v>#DIV/0!</v>
      </c>
      <c r="U264" s="14"/>
    </row>
    <row r="265" spans="1:21" x14ac:dyDescent="0.25">
      <c r="A265" s="7">
        <v>5223</v>
      </c>
      <c r="B265" s="126" t="s">
        <v>281</v>
      </c>
      <c r="C265" s="4">
        <f t="shared" si="28"/>
        <v>178369.0668</v>
      </c>
      <c r="D265" s="6">
        <v>1</v>
      </c>
      <c r="E265" s="82">
        <f t="shared" si="29"/>
        <v>0.12</v>
      </c>
      <c r="F265" s="128">
        <v>1291138.9300000002</v>
      </c>
      <c r="G265" s="128">
        <v>0</v>
      </c>
      <c r="H265" s="128">
        <v>36624.959999999999</v>
      </c>
      <c r="I265" s="128">
        <v>114950.00000000001</v>
      </c>
      <c r="J265" s="128">
        <v>18495</v>
      </c>
      <c r="K265" s="128">
        <v>25200</v>
      </c>
      <c r="L265" s="5">
        <f t="shared" si="30"/>
        <v>1486408.8900000001</v>
      </c>
      <c r="M265" s="2">
        <f>Form!$E$5</f>
        <v>0</v>
      </c>
      <c r="N265" s="5">
        <v>-31990.399999999907</v>
      </c>
      <c r="O265" s="14">
        <f t="shared" si="25"/>
        <v>-31990.399999999907</v>
      </c>
      <c r="P265" s="15" t="e">
        <f t="shared" si="26"/>
        <v>#DIV/0!</v>
      </c>
      <c r="Q265" s="16" t="e">
        <f t="shared" si="27"/>
        <v>#DIV/0!</v>
      </c>
      <c r="U265" s="14"/>
    </row>
    <row r="266" spans="1:21" x14ac:dyDescent="0.25">
      <c r="A266" s="7">
        <v>5225</v>
      </c>
      <c r="B266" s="126" t="s">
        <v>127</v>
      </c>
      <c r="C266" s="4">
        <f t="shared" si="28"/>
        <v>146406.73320000002</v>
      </c>
      <c r="D266" s="6">
        <v>1</v>
      </c>
      <c r="E266" s="82">
        <f t="shared" si="29"/>
        <v>0.12</v>
      </c>
      <c r="F266" s="128">
        <v>970046.95000000019</v>
      </c>
      <c r="G266" s="128">
        <v>0</v>
      </c>
      <c r="H266" s="128">
        <v>105944.16000000002</v>
      </c>
      <c r="I266" s="128">
        <v>105940.00000000003</v>
      </c>
      <c r="J266" s="128">
        <v>38125</v>
      </c>
      <c r="K266" s="128">
        <v>0</v>
      </c>
      <c r="L266" s="5">
        <f t="shared" si="30"/>
        <v>1220056.1100000001</v>
      </c>
      <c r="M266" s="2">
        <f>Form!$E$5</f>
        <v>0</v>
      </c>
      <c r="N266" s="5">
        <v>-66590.809999999896</v>
      </c>
      <c r="O266" s="14">
        <f t="shared" si="25"/>
        <v>-66590.809999999896</v>
      </c>
      <c r="P266" s="15" t="e">
        <f t="shared" si="26"/>
        <v>#DIV/0!</v>
      </c>
      <c r="Q266" s="16" t="e">
        <f t="shared" si="27"/>
        <v>#DIV/0!</v>
      </c>
      <c r="U266" s="14"/>
    </row>
    <row r="267" spans="1:21" x14ac:dyDescent="0.25">
      <c r="A267" s="7">
        <v>5226</v>
      </c>
      <c r="B267" s="126" t="s">
        <v>128</v>
      </c>
      <c r="C267" s="4">
        <f t="shared" si="28"/>
        <v>315641.13119999995</v>
      </c>
      <c r="D267" s="6">
        <v>1</v>
      </c>
      <c r="E267" s="82">
        <f t="shared" si="29"/>
        <v>0.12</v>
      </c>
      <c r="F267" s="128">
        <v>2305271.0399999996</v>
      </c>
      <c r="G267" s="128">
        <v>0</v>
      </c>
      <c r="H267" s="128">
        <v>137676.72</v>
      </c>
      <c r="I267" s="128">
        <v>156300</v>
      </c>
      <c r="J267" s="128">
        <v>20906</v>
      </c>
      <c r="K267" s="128">
        <v>10189</v>
      </c>
      <c r="L267" s="5">
        <f t="shared" si="30"/>
        <v>2630342.7599999998</v>
      </c>
      <c r="M267" s="2">
        <f>Form!$E$5</f>
        <v>0</v>
      </c>
      <c r="N267" s="5">
        <v>-73678.770000000746</v>
      </c>
      <c r="O267" s="14">
        <f t="shared" si="25"/>
        <v>-73678.770000000746</v>
      </c>
      <c r="P267" s="15" t="e">
        <f t="shared" si="26"/>
        <v>#DIV/0!</v>
      </c>
      <c r="Q267" s="16" t="e">
        <f t="shared" si="27"/>
        <v>#DIV/0!</v>
      </c>
      <c r="U267" s="14"/>
    </row>
    <row r="268" spans="1:21" x14ac:dyDescent="0.25">
      <c r="A268" s="7">
        <v>5407</v>
      </c>
      <c r="B268" s="126" t="s">
        <v>129</v>
      </c>
      <c r="C268" s="4">
        <f t="shared" si="28"/>
        <v>670345.91850000003</v>
      </c>
      <c r="D268" s="6">
        <v>2</v>
      </c>
      <c r="E268" s="82">
        <f t="shared" si="29"/>
        <v>7.4999999999999997E-2</v>
      </c>
      <c r="F268" s="128">
        <v>7920596.0599999996</v>
      </c>
      <c r="G268" s="128">
        <v>341104</v>
      </c>
      <c r="H268" s="128">
        <v>200854.52</v>
      </c>
      <c r="I268" s="128">
        <v>438015</v>
      </c>
      <c r="J268" s="128">
        <v>0</v>
      </c>
      <c r="K268" s="128">
        <v>37376</v>
      </c>
      <c r="L268" s="5">
        <f t="shared" si="30"/>
        <v>8937945.5800000001</v>
      </c>
      <c r="M268" s="2">
        <f>Form!$E$5</f>
        <v>0</v>
      </c>
      <c r="N268" s="5">
        <v>16857.020000002172</v>
      </c>
      <c r="O268" s="14">
        <f t="shared" si="25"/>
        <v>16857.020000002172</v>
      </c>
      <c r="P268" s="15" t="e">
        <f t="shared" si="26"/>
        <v>#DIV/0!</v>
      </c>
      <c r="Q268" s="16" t="e">
        <f t="shared" si="27"/>
        <v>#DIV/0!</v>
      </c>
      <c r="U268" s="14"/>
    </row>
    <row r="269" spans="1:21" x14ac:dyDescent="0.25">
      <c r="A269" s="7">
        <v>5412</v>
      </c>
      <c r="B269" s="126" t="s">
        <v>130</v>
      </c>
      <c r="C269" s="4">
        <f t="shared" si="28"/>
        <v>634286.83274999994</v>
      </c>
      <c r="D269" s="6">
        <v>2</v>
      </c>
      <c r="E269" s="82">
        <f t="shared" si="29"/>
        <v>7.4999999999999997E-2</v>
      </c>
      <c r="F269" s="128">
        <v>5429785.3499999996</v>
      </c>
      <c r="G269" s="128">
        <v>2550279</v>
      </c>
      <c r="H269" s="128">
        <v>389587.42000000004</v>
      </c>
      <c r="I269" s="128">
        <v>55250</v>
      </c>
      <c r="J269" s="128">
        <v>0</v>
      </c>
      <c r="K269" s="128">
        <v>32256</v>
      </c>
      <c r="L269" s="5">
        <f t="shared" si="30"/>
        <v>8457157.7699999996</v>
      </c>
      <c r="M269" s="2">
        <f>Form!$E$5</f>
        <v>0</v>
      </c>
      <c r="N269" s="5">
        <v>-460946.64999999944</v>
      </c>
      <c r="O269" s="14">
        <f t="shared" ref="O269:O297" si="31">N269-M269</f>
        <v>-460946.64999999944</v>
      </c>
      <c r="P269" s="15" t="e">
        <f t="shared" ref="P269:P297" si="32">O269/M269</f>
        <v>#DIV/0!</v>
      </c>
      <c r="Q269" s="16" t="e">
        <f t="shared" ref="Q269:Q297" si="33">IF(AND(O269&lt;$Q$2,O269&gt;-$Q$2),"Within Tolerance",IF(AND(P269&lt;$R$2,P269&gt;-$R$2),"Within Tolerance",O269))</f>
        <v>#DIV/0!</v>
      </c>
      <c r="U269" s="14"/>
    </row>
    <row r="270" spans="1:21" x14ac:dyDescent="0.25">
      <c r="A270" s="7">
        <v>5425</v>
      </c>
      <c r="B270" s="126" t="s">
        <v>282</v>
      </c>
      <c r="C270" s="4">
        <f t="shared" si="28"/>
        <v>778288.12575000012</v>
      </c>
      <c r="D270" s="6">
        <v>2</v>
      </c>
      <c r="E270" s="82">
        <f t="shared" si="29"/>
        <v>7.4999999999999997E-2</v>
      </c>
      <c r="F270" s="128">
        <v>8081166.96</v>
      </c>
      <c r="G270" s="128">
        <v>1044319</v>
      </c>
      <c r="H270" s="128">
        <v>946412.07000000007</v>
      </c>
      <c r="I270" s="128">
        <v>271484.98</v>
      </c>
      <c r="J270" s="128">
        <v>0</v>
      </c>
      <c r="K270" s="128">
        <v>33792</v>
      </c>
      <c r="L270" s="5">
        <f t="shared" si="30"/>
        <v>10377175.010000002</v>
      </c>
      <c r="M270" s="2">
        <f>Form!$E$5</f>
        <v>0</v>
      </c>
      <c r="N270" s="5">
        <v>-242730.12000000174</v>
      </c>
      <c r="O270" s="14">
        <f t="shared" si="31"/>
        <v>-242730.12000000174</v>
      </c>
      <c r="P270" s="15" t="e">
        <f t="shared" si="32"/>
        <v>#DIV/0!</v>
      </c>
      <c r="Q270" s="16" t="e">
        <f t="shared" si="33"/>
        <v>#DIV/0!</v>
      </c>
      <c r="U270" s="14"/>
    </row>
    <row r="271" spans="1:21" x14ac:dyDescent="0.25">
      <c r="A271" s="7">
        <v>5426</v>
      </c>
      <c r="B271" s="126" t="s">
        <v>283</v>
      </c>
      <c r="C271" s="4">
        <f t="shared" si="28"/>
        <v>472319.53875000001</v>
      </c>
      <c r="D271" s="6">
        <v>2</v>
      </c>
      <c r="E271" s="82">
        <f t="shared" si="29"/>
        <v>7.4999999999999997E-2</v>
      </c>
      <c r="F271" s="128">
        <v>5224751.7</v>
      </c>
      <c r="G271" s="128">
        <v>508793</v>
      </c>
      <c r="H271" s="128">
        <v>182961.20999999996</v>
      </c>
      <c r="I271" s="128">
        <v>361529.94</v>
      </c>
      <c r="J271" s="128">
        <v>0</v>
      </c>
      <c r="K271" s="128">
        <v>19558</v>
      </c>
      <c r="L271" s="5">
        <f t="shared" si="30"/>
        <v>6297593.8500000006</v>
      </c>
      <c r="M271" s="2">
        <f>Form!$E$5</f>
        <v>0</v>
      </c>
      <c r="N271" s="5">
        <v>41687.919999998434</v>
      </c>
      <c r="O271" s="14">
        <f t="shared" si="31"/>
        <v>41687.919999998434</v>
      </c>
      <c r="P271" s="15" t="e">
        <f t="shared" si="32"/>
        <v>#DIV/0!</v>
      </c>
      <c r="Q271" s="16" t="e">
        <f t="shared" si="33"/>
        <v>#DIV/0!</v>
      </c>
      <c r="U271" s="14"/>
    </row>
    <row r="272" spans="1:21" x14ac:dyDescent="0.25">
      <c r="A272" s="7">
        <v>5447</v>
      </c>
      <c r="B272" s="126" t="s">
        <v>284</v>
      </c>
      <c r="C272" s="4">
        <f t="shared" si="28"/>
        <v>873022.05749999976</v>
      </c>
      <c r="D272" s="6">
        <v>4</v>
      </c>
      <c r="E272" s="82">
        <f t="shared" si="29"/>
        <v>8.5000000000000006E-2</v>
      </c>
      <c r="F272" s="128">
        <v>9779330.2699999977</v>
      </c>
      <c r="G272" s="128">
        <v>803103</v>
      </c>
      <c r="H272" s="128">
        <v>249399.96000000002</v>
      </c>
      <c r="I272" s="128">
        <v>672048.87000000011</v>
      </c>
      <c r="J272" s="128">
        <v>78633</v>
      </c>
      <c r="K272" s="128">
        <v>57779</v>
      </c>
      <c r="L272" s="5">
        <f t="shared" si="30"/>
        <v>11640294.099999998</v>
      </c>
      <c r="M272" s="2">
        <f>Form!$E$5</f>
        <v>0</v>
      </c>
      <c r="N272" s="5">
        <v>-1087166.0699999975</v>
      </c>
      <c r="O272" s="14">
        <f t="shared" si="31"/>
        <v>-1087166.0699999975</v>
      </c>
      <c r="P272" s="15" t="e">
        <f t="shared" si="32"/>
        <v>#DIV/0!</v>
      </c>
      <c r="Q272" s="16" t="e">
        <f t="shared" si="33"/>
        <v>#DIV/0!</v>
      </c>
      <c r="U272" s="14"/>
    </row>
    <row r="273" spans="1:21" x14ac:dyDescent="0.25">
      <c r="A273" s="7">
        <v>5456</v>
      </c>
      <c r="B273" s="126" t="s">
        <v>131</v>
      </c>
      <c r="C273" s="4">
        <f t="shared" si="28"/>
        <v>625313.54249999998</v>
      </c>
      <c r="D273" s="6">
        <v>2</v>
      </c>
      <c r="E273" s="82">
        <f t="shared" si="29"/>
        <v>7.4999999999999997E-2</v>
      </c>
      <c r="F273" s="128">
        <v>6932295.6900000004</v>
      </c>
      <c r="G273" s="128">
        <v>1047227</v>
      </c>
      <c r="H273" s="128">
        <v>25261.210000000003</v>
      </c>
      <c r="I273" s="128">
        <v>298170</v>
      </c>
      <c r="J273" s="128">
        <v>0</v>
      </c>
      <c r="K273" s="128">
        <v>34560</v>
      </c>
      <c r="L273" s="5">
        <f t="shared" si="30"/>
        <v>8337513.9000000004</v>
      </c>
      <c r="M273" s="2">
        <f>Form!$E$5</f>
        <v>0</v>
      </c>
      <c r="N273" s="5">
        <v>-164837.2499999986</v>
      </c>
      <c r="O273" s="14">
        <f t="shared" si="31"/>
        <v>-164837.2499999986</v>
      </c>
      <c r="P273" s="15" t="e">
        <f t="shared" si="32"/>
        <v>#DIV/0!</v>
      </c>
      <c r="Q273" s="16" t="e">
        <f t="shared" si="33"/>
        <v>#DIV/0!</v>
      </c>
      <c r="U273" s="14"/>
    </row>
    <row r="274" spans="1:21" x14ac:dyDescent="0.25">
      <c r="A274" s="7">
        <v>5459</v>
      </c>
      <c r="B274" s="126" t="s">
        <v>132</v>
      </c>
      <c r="C274" s="4">
        <f t="shared" si="28"/>
        <v>421041.60749999998</v>
      </c>
      <c r="D274" s="6">
        <v>2</v>
      </c>
      <c r="E274" s="82">
        <f t="shared" si="29"/>
        <v>7.4999999999999997E-2</v>
      </c>
      <c r="F274" s="128">
        <v>4438975.88</v>
      </c>
      <c r="G274" s="128">
        <v>977970</v>
      </c>
      <c r="H274" s="128">
        <v>22385.219999999998</v>
      </c>
      <c r="I274" s="128">
        <v>156739</v>
      </c>
      <c r="J274" s="128">
        <v>0</v>
      </c>
      <c r="K274" s="128">
        <v>17818</v>
      </c>
      <c r="L274" s="5">
        <f t="shared" si="30"/>
        <v>5613888.0999999996</v>
      </c>
      <c r="M274" s="2">
        <f>Form!$E$5</f>
        <v>0</v>
      </c>
      <c r="N274" s="5">
        <v>-55405.97000000003</v>
      </c>
      <c r="O274" s="14">
        <f t="shared" si="31"/>
        <v>-55405.97000000003</v>
      </c>
      <c r="P274" s="15" t="e">
        <f t="shared" si="32"/>
        <v>#DIV/0!</v>
      </c>
      <c r="Q274" s="16" t="e">
        <f t="shared" si="33"/>
        <v>#DIV/0!</v>
      </c>
      <c r="U274" s="14"/>
    </row>
    <row r="275" spans="1:21" x14ac:dyDescent="0.25">
      <c r="A275" s="7">
        <v>5461</v>
      </c>
      <c r="B275" s="126" t="s">
        <v>285</v>
      </c>
      <c r="C275" s="4">
        <f t="shared" si="28"/>
        <v>813434.20499999984</v>
      </c>
      <c r="D275" s="6">
        <v>2</v>
      </c>
      <c r="E275" s="82">
        <f t="shared" si="29"/>
        <v>7.4999999999999997E-2</v>
      </c>
      <c r="F275" s="128">
        <v>8462703.0599999987</v>
      </c>
      <c r="G275" s="128">
        <v>2008389</v>
      </c>
      <c r="H275" s="128">
        <v>43723.339999999989</v>
      </c>
      <c r="I275" s="128">
        <v>280030</v>
      </c>
      <c r="J275" s="128">
        <v>0</v>
      </c>
      <c r="K275" s="128">
        <v>50944</v>
      </c>
      <c r="L275" s="5">
        <f t="shared" si="30"/>
        <v>10845789.399999999</v>
      </c>
      <c r="M275" s="2">
        <f>Form!$E$5</f>
        <v>0</v>
      </c>
      <c r="N275" s="5">
        <v>-724050.47999999695</v>
      </c>
      <c r="O275" s="14">
        <f t="shared" si="31"/>
        <v>-724050.47999999695</v>
      </c>
      <c r="P275" s="15" t="e">
        <f t="shared" si="32"/>
        <v>#DIV/0!</v>
      </c>
      <c r="Q275" s="16" t="e">
        <f t="shared" si="33"/>
        <v>#DIV/0!</v>
      </c>
      <c r="U275" s="14"/>
    </row>
    <row r="276" spans="1:21" x14ac:dyDescent="0.25">
      <c r="A276" s="7">
        <v>7002</v>
      </c>
      <c r="B276" s="126" t="s">
        <v>133</v>
      </c>
      <c r="C276" s="4">
        <f t="shared" si="28"/>
        <v>1213651.2768000001</v>
      </c>
      <c r="D276" s="6">
        <v>1</v>
      </c>
      <c r="E276" s="82">
        <f t="shared" si="29"/>
        <v>0.12</v>
      </c>
      <c r="F276" s="128">
        <v>2968377.31</v>
      </c>
      <c r="G276" s="128">
        <v>1176303.5300000003</v>
      </c>
      <c r="H276" s="128">
        <v>5844791.7999999998</v>
      </c>
      <c r="I276" s="128">
        <v>123705</v>
      </c>
      <c r="J276" s="128">
        <v>583</v>
      </c>
      <c r="K276" s="128">
        <v>0</v>
      </c>
      <c r="L276" s="5">
        <f t="shared" si="30"/>
        <v>10113760.640000001</v>
      </c>
      <c r="M276" s="2">
        <f>Form!$E$5</f>
        <v>0</v>
      </c>
      <c r="N276" s="5">
        <v>-13493.80999999799</v>
      </c>
      <c r="O276" s="14">
        <f t="shared" si="31"/>
        <v>-13493.80999999799</v>
      </c>
      <c r="P276" s="15" t="e">
        <f t="shared" si="32"/>
        <v>#DIV/0!</v>
      </c>
      <c r="Q276" s="16" t="e">
        <f t="shared" si="33"/>
        <v>#DIV/0!</v>
      </c>
      <c r="U276" s="14"/>
    </row>
    <row r="277" spans="1:21" x14ac:dyDescent="0.25">
      <c r="A277" s="7">
        <v>7021</v>
      </c>
      <c r="B277" s="126" t="s">
        <v>134</v>
      </c>
      <c r="C277" s="4">
        <f t="shared" si="28"/>
        <v>785510.43239999993</v>
      </c>
      <c r="D277" s="6">
        <v>1</v>
      </c>
      <c r="E277" s="82">
        <f t="shared" si="29"/>
        <v>0.12</v>
      </c>
      <c r="F277" s="128">
        <v>882482.59000000008</v>
      </c>
      <c r="G277" s="128">
        <v>305447.33999999997</v>
      </c>
      <c r="H277" s="128">
        <v>5294701.34</v>
      </c>
      <c r="I277" s="128">
        <v>44430</v>
      </c>
      <c r="J277" s="128">
        <v>18859</v>
      </c>
      <c r="K277" s="128">
        <v>0</v>
      </c>
      <c r="L277" s="5">
        <f t="shared" si="30"/>
        <v>6545920.2699999996</v>
      </c>
      <c r="M277" s="2">
        <f>Form!$E$5</f>
        <v>0</v>
      </c>
      <c r="N277" s="5">
        <v>-398049.91000000015</v>
      </c>
      <c r="O277" s="14">
        <f t="shared" si="31"/>
        <v>-398049.91000000015</v>
      </c>
      <c r="P277" s="15" t="e">
        <f t="shared" si="32"/>
        <v>#DIV/0!</v>
      </c>
      <c r="Q277" s="16" t="e">
        <f t="shared" si="33"/>
        <v>#DIV/0!</v>
      </c>
      <c r="U277" s="14"/>
    </row>
    <row r="278" spans="1:21" x14ac:dyDescent="0.25">
      <c r="A278" s="7">
        <v>7032</v>
      </c>
      <c r="B278" s="126" t="s">
        <v>135</v>
      </c>
      <c r="C278" s="4">
        <f t="shared" si="28"/>
        <v>669912.99600000004</v>
      </c>
      <c r="D278" s="6">
        <v>1</v>
      </c>
      <c r="E278" s="82">
        <f t="shared" si="29"/>
        <v>0.12</v>
      </c>
      <c r="F278" s="128">
        <v>2473139.2100000004</v>
      </c>
      <c r="G278" s="128">
        <v>0</v>
      </c>
      <c r="H278" s="128">
        <v>2860451.09</v>
      </c>
      <c r="I278" s="128">
        <v>230125</v>
      </c>
      <c r="J278" s="128">
        <v>18893</v>
      </c>
      <c r="K278" s="128">
        <v>0</v>
      </c>
      <c r="L278" s="5">
        <f t="shared" si="30"/>
        <v>5582608.3000000007</v>
      </c>
      <c r="M278" s="2">
        <f>Form!$E$5</f>
        <v>0</v>
      </c>
      <c r="N278" s="5">
        <v>-254788.49000000092</v>
      </c>
      <c r="O278" s="14">
        <f t="shared" si="31"/>
        <v>-254788.49000000092</v>
      </c>
      <c r="P278" s="15" t="e">
        <f t="shared" si="32"/>
        <v>#DIV/0!</v>
      </c>
      <c r="Q278" s="16" t="e">
        <f t="shared" si="33"/>
        <v>#DIV/0!</v>
      </c>
      <c r="U278" s="14"/>
    </row>
    <row r="279" spans="1:21" x14ac:dyDescent="0.25">
      <c r="A279" s="7">
        <v>7033</v>
      </c>
      <c r="B279" s="126" t="s">
        <v>136</v>
      </c>
      <c r="C279" s="4">
        <f t="shared" si="28"/>
        <v>339944.79959999997</v>
      </c>
      <c r="D279" s="6">
        <v>1</v>
      </c>
      <c r="E279" s="82">
        <f t="shared" si="29"/>
        <v>0.12</v>
      </c>
      <c r="F279" s="128">
        <v>1099005.98</v>
      </c>
      <c r="G279" s="128">
        <v>0</v>
      </c>
      <c r="H279" s="128">
        <v>1597480.96</v>
      </c>
      <c r="I279" s="128">
        <v>120068.39</v>
      </c>
      <c r="J279" s="128">
        <v>16318</v>
      </c>
      <c r="K279" s="128">
        <v>0</v>
      </c>
      <c r="L279" s="5">
        <f t="shared" ref="L279:L297" si="34">SUM(F279:K279)</f>
        <v>2832873.33</v>
      </c>
      <c r="M279" s="2">
        <f>Form!$E$5</f>
        <v>0</v>
      </c>
      <c r="N279" s="5">
        <v>-239066.67999999906</v>
      </c>
      <c r="O279" s="14">
        <f t="shared" si="31"/>
        <v>-239066.67999999906</v>
      </c>
      <c r="P279" s="15" t="e">
        <f t="shared" si="32"/>
        <v>#DIV/0!</v>
      </c>
      <c r="Q279" s="16" t="e">
        <f t="shared" si="33"/>
        <v>#DIV/0!</v>
      </c>
      <c r="U279" s="14"/>
    </row>
    <row r="280" spans="1:21" x14ac:dyDescent="0.25">
      <c r="A280" s="7">
        <v>7039</v>
      </c>
      <c r="B280" s="126" t="s">
        <v>286</v>
      </c>
      <c r="C280" s="4">
        <f t="shared" si="28"/>
        <v>804706.9463999999</v>
      </c>
      <c r="D280" s="6">
        <v>1</v>
      </c>
      <c r="E280" s="82">
        <f t="shared" si="29"/>
        <v>0.12</v>
      </c>
      <c r="F280" s="128">
        <v>2575674.36</v>
      </c>
      <c r="G280" s="128">
        <v>436584.32</v>
      </c>
      <c r="H280" s="128">
        <v>3524454.54</v>
      </c>
      <c r="I280" s="128">
        <v>137949.00000000003</v>
      </c>
      <c r="J280" s="128">
        <v>31229</v>
      </c>
      <c r="K280" s="128">
        <v>0</v>
      </c>
      <c r="L280" s="5">
        <f t="shared" si="34"/>
        <v>6705891.2199999997</v>
      </c>
      <c r="M280" s="2">
        <f>Form!$E$5</f>
        <v>0</v>
      </c>
      <c r="N280" s="5">
        <v>-819022.47000000055</v>
      </c>
      <c r="O280" s="14">
        <f t="shared" si="31"/>
        <v>-819022.47000000055</v>
      </c>
      <c r="P280" s="15" t="e">
        <f t="shared" si="32"/>
        <v>#DIV/0!</v>
      </c>
      <c r="Q280" s="16" t="e">
        <f t="shared" si="33"/>
        <v>#DIV/0!</v>
      </c>
      <c r="U280" s="14"/>
    </row>
    <row r="281" spans="1:21" x14ac:dyDescent="0.25">
      <c r="A281" s="7">
        <v>7040</v>
      </c>
      <c r="B281" s="126" t="s">
        <v>287</v>
      </c>
      <c r="C281" s="4">
        <f t="shared" si="28"/>
        <v>809771.07119999989</v>
      </c>
      <c r="D281" s="6">
        <v>1</v>
      </c>
      <c r="E281" s="82">
        <f t="shared" si="29"/>
        <v>0.12</v>
      </c>
      <c r="F281" s="128">
        <v>2698748.8899999997</v>
      </c>
      <c r="G281" s="128">
        <v>342739.51</v>
      </c>
      <c r="H281" s="128">
        <v>3503202.47</v>
      </c>
      <c r="I281" s="128">
        <v>167443.39000000001</v>
      </c>
      <c r="J281" s="128">
        <v>35958</v>
      </c>
      <c r="K281" s="128">
        <v>0</v>
      </c>
      <c r="L281" s="5">
        <f t="shared" si="34"/>
        <v>6748092.2599999988</v>
      </c>
      <c r="M281" s="2">
        <f>Form!$E$5</f>
        <v>0</v>
      </c>
      <c r="N281" s="5">
        <v>-229690.72000000166</v>
      </c>
      <c r="O281" s="14">
        <f t="shared" si="31"/>
        <v>-229690.72000000166</v>
      </c>
      <c r="P281" s="15" t="e">
        <f t="shared" si="32"/>
        <v>#DIV/0!</v>
      </c>
      <c r="Q281" s="16" t="e">
        <f t="shared" si="33"/>
        <v>#DIV/0!</v>
      </c>
      <c r="U281" s="14"/>
    </row>
    <row r="282" spans="1:21" x14ac:dyDescent="0.25">
      <c r="A282" s="7">
        <v>7041</v>
      </c>
      <c r="B282" s="126" t="s">
        <v>288</v>
      </c>
      <c r="C282" s="4">
        <f t="shared" si="28"/>
        <v>622548.16439999989</v>
      </c>
      <c r="D282" s="6">
        <v>1</v>
      </c>
      <c r="E282" s="82">
        <f t="shared" si="29"/>
        <v>0.12</v>
      </c>
      <c r="F282" s="128">
        <v>1784014.83</v>
      </c>
      <c r="G282" s="128">
        <v>354357.63</v>
      </c>
      <c r="H282" s="128">
        <v>2921393.9099999997</v>
      </c>
      <c r="I282" s="128">
        <v>128135</v>
      </c>
      <c r="J282" s="128">
        <v>0</v>
      </c>
      <c r="K282" s="128">
        <v>0</v>
      </c>
      <c r="L282" s="5">
        <f t="shared" si="34"/>
        <v>5187901.3699999992</v>
      </c>
      <c r="M282" s="2">
        <f>Form!$E$5</f>
        <v>0</v>
      </c>
      <c r="N282" s="5">
        <v>-539236.80599999893</v>
      </c>
      <c r="O282" s="14">
        <f t="shared" si="31"/>
        <v>-539236.80599999893</v>
      </c>
      <c r="P282" s="15" t="e">
        <f t="shared" si="32"/>
        <v>#DIV/0!</v>
      </c>
      <c r="Q282" s="16" t="e">
        <f t="shared" si="33"/>
        <v>#DIV/0!</v>
      </c>
      <c r="U282" s="14"/>
    </row>
    <row r="283" spans="1:21" x14ac:dyDescent="0.25">
      <c r="A283" s="7">
        <v>7043</v>
      </c>
      <c r="B283" s="126" t="s">
        <v>137</v>
      </c>
      <c r="C283" s="4">
        <f t="shared" si="28"/>
        <v>1182226.0380000002</v>
      </c>
      <c r="D283" s="6">
        <v>1</v>
      </c>
      <c r="E283" s="82">
        <f t="shared" si="29"/>
        <v>0.12</v>
      </c>
      <c r="F283" s="128">
        <v>3729707.75</v>
      </c>
      <c r="G283" s="128">
        <v>1010527.3300000001</v>
      </c>
      <c r="H283" s="128">
        <v>4827876.5700000012</v>
      </c>
      <c r="I283" s="128">
        <v>255405.00000000006</v>
      </c>
      <c r="J283" s="128">
        <v>28367</v>
      </c>
      <c r="K283" s="128">
        <v>0</v>
      </c>
      <c r="L283" s="5">
        <f t="shared" si="34"/>
        <v>9851883.6500000022</v>
      </c>
      <c r="M283" s="2">
        <f>Form!$E$5</f>
        <v>0</v>
      </c>
      <c r="N283" s="5">
        <v>-490791.38999999128</v>
      </c>
      <c r="O283" s="14">
        <f t="shared" si="31"/>
        <v>-490791.38999999128</v>
      </c>
      <c r="P283" s="15" t="e">
        <f t="shared" si="32"/>
        <v>#DIV/0!</v>
      </c>
      <c r="Q283" s="16" t="e">
        <f t="shared" si="33"/>
        <v>#DIV/0!</v>
      </c>
      <c r="U283" s="14"/>
    </row>
    <row r="284" spans="1:21" x14ac:dyDescent="0.25">
      <c r="A284" s="7">
        <v>7044</v>
      </c>
      <c r="B284" s="126" t="s">
        <v>138</v>
      </c>
      <c r="C284" s="4">
        <f t="shared" si="28"/>
        <v>497390.84399999998</v>
      </c>
      <c r="D284" s="6">
        <v>1</v>
      </c>
      <c r="E284" s="82">
        <f t="shared" si="29"/>
        <v>0.12</v>
      </c>
      <c r="F284" s="128">
        <v>1704182.6300000001</v>
      </c>
      <c r="G284" s="128">
        <v>0</v>
      </c>
      <c r="H284" s="128">
        <v>2283612.0699999998</v>
      </c>
      <c r="I284" s="128">
        <v>140820.00000000003</v>
      </c>
      <c r="J284" s="128">
        <v>16309</v>
      </c>
      <c r="K284" s="128">
        <v>0</v>
      </c>
      <c r="L284" s="5">
        <f t="shared" si="34"/>
        <v>4144923.7</v>
      </c>
      <c r="M284" s="2">
        <f>Form!$E$5</f>
        <v>0</v>
      </c>
      <c r="N284" s="5">
        <v>-18976.259999999926</v>
      </c>
      <c r="O284" s="14">
        <f t="shared" si="31"/>
        <v>-18976.259999999926</v>
      </c>
      <c r="P284" s="15" t="e">
        <f t="shared" si="32"/>
        <v>#DIV/0!</v>
      </c>
      <c r="Q284" s="16" t="e">
        <f t="shared" si="33"/>
        <v>#DIV/0!</v>
      </c>
      <c r="U284" s="14"/>
    </row>
    <row r="285" spans="1:21" x14ac:dyDescent="0.25">
      <c r="A285" s="7">
        <v>7045</v>
      </c>
      <c r="B285" s="126" t="s">
        <v>329</v>
      </c>
      <c r="C285" s="4">
        <f t="shared" si="28"/>
        <v>436104.45239999995</v>
      </c>
      <c r="D285" s="6">
        <v>1</v>
      </c>
      <c r="E285" s="82">
        <f t="shared" si="29"/>
        <v>0.12</v>
      </c>
      <c r="F285" s="128">
        <v>1573247.0799999998</v>
      </c>
      <c r="G285" s="128">
        <v>0</v>
      </c>
      <c r="H285" s="128">
        <v>1908931.19</v>
      </c>
      <c r="I285" s="128">
        <v>134972.5</v>
      </c>
      <c r="J285" s="128">
        <v>17053</v>
      </c>
      <c r="K285" s="128">
        <v>0</v>
      </c>
      <c r="L285" s="5">
        <f t="shared" si="34"/>
        <v>3634203.7699999996</v>
      </c>
      <c r="M285" s="2">
        <f>Form!$E$5</f>
        <v>0</v>
      </c>
      <c r="N285" s="5">
        <v>-419153.50999999966</v>
      </c>
      <c r="O285" s="14">
        <f t="shared" si="31"/>
        <v>-419153.50999999966</v>
      </c>
      <c r="P285" s="15" t="e">
        <f t="shared" si="32"/>
        <v>#DIV/0!</v>
      </c>
      <c r="Q285" s="16" t="e">
        <f t="shared" si="33"/>
        <v>#DIV/0!</v>
      </c>
      <c r="U285" s="14"/>
    </row>
    <row r="286" spans="1:21" x14ac:dyDescent="0.25">
      <c r="A286" s="7">
        <v>7051</v>
      </c>
      <c r="B286" s="126" t="s">
        <v>327</v>
      </c>
      <c r="C286" s="4">
        <f t="shared" si="28"/>
        <v>840322.34880000004</v>
      </c>
      <c r="D286" s="6">
        <v>1</v>
      </c>
      <c r="E286" s="82">
        <f t="shared" si="29"/>
        <v>0.12</v>
      </c>
      <c r="F286" s="128">
        <v>2816427.48</v>
      </c>
      <c r="G286" s="128">
        <v>394878.39</v>
      </c>
      <c r="H286" s="128">
        <v>3613572.3699999996</v>
      </c>
      <c r="I286" s="128">
        <v>139770.00000000003</v>
      </c>
      <c r="J286" s="128">
        <v>38038</v>
      </c>
      <c r="K286" s="128">
        <v>0</v>
      </c>
      <c r="L286" s="5">
        <f t="shared" si="34"/>
        <v>7002686.2400000002</v>
      </c>
      <c r="M286" s="2">
        <f>Form!$E$5</f>
        <v>0</v>
      </c>
      <c r="N286" s="5">
        <v>-1120243.319999998</v>
      </c>
      <c r="O286" s="14">
        <f t="shared" si="31"/>
        <v>-1120243.319999998</v>
      </c>
      <c r="P286" s="15" t="e">
        <f t="shared" si="32"/>
        <v>#DIV/0!</v>
      </c>
      <c r="Q286" s="16" t="e">
        <f t="shared" si="33"/>
        <v>#DIV/0!</v>
      </c>
      <c r="U286" s="14"/>
    </row>
    <row r="287" spans="1:21" x14ac:dyDescent="0.25">
      <c r="A287" s="7">
        <v>7052</v>
      </c>
      <c r="B287" s="126" t="s">
        <v>289</v>
      </c>
      <c r="C287" s="4">
        <f t="shared" si="28"/>
        <v>570606.56639999989</v>
      </c>
      <c r="D287" s="6">
        <v>1</v>
      </c>
      <c r="E287" s="82">
        <f t="shared" si="29"/>
        <v>0.12</v>
      </c>
      <c r="F287" s="128">
        <v>1424544.67</v>
      </c>
      <c r="G287" s="128">
        <v>709281.72</v>
      </c>
      <c r="H287" s="128">
        <v>2555664.33</v>
      </c>
      <c r="I287" s="128">
        <v>51120.000000000007</v>
      </c>
      <c r="J287" s="128">
        <v>14444</v>
      </c>
      <c r="K287" s="128">
        <v>0</v>
      </c>
      <c r="L287" s="5">
        <f t="shared" si="34"/>
        <v>4755054.72</v>
      </c>
      <c r="M287" s="2">
        <f>Form!$E$5</f>
        <v>0</v>
      </c>
      <c r="N287" s="5">
        <v>-2019177.7600000005</v>
      </c>
      <c r="O287" s="14">
        <f t="shared" si="31"/>
        <v>-2019177.7600000005</v>
      </c>
      <c r="P287" s="15" t="e">
        <f t="shared" si="32"/>
        <v>#DIV/0!</v>
      </c>
      <c r="Q287" s="16" t="e">
        <f t="shared" si="33"/>
        <v>#DIV/0!</v>
      </c>
      <c r="U287" s="14"/>
    </row>
    <row r="288" spans="1:21" x14ac:dyDescent="0.25">
      <c r="A288" s="7">
        <v>7056</v>
      </c>
      <c r="B288" s="126" t="s">
        <v>139</v>
      </c>
      <c r="C288" s="4">
        <f t="shared" si="28"/>
        <v>2152013.6867999998</v>
      </c>
      <c r="D288" s="6">
        <v>1</v>
      </c>
      <c r="E288" s="82">
        <f t="shared" si="29"/>
        <v>0.12</v>
      </c>
      <c r="F288" s="128">
        <v>8176676.6299999999</v>
      </c>
      <c r="G288" s="128">
        <v>1002978.67</v>
      </c>
      <c r="H288" s="128">
        <v>8270065.0900000008</v>
      </c>
      <c r="I288" s="128">
        <v>428274.00000000006</v>
      </c>
      <c r="J288" s="128">
        <v>55453</v>
      </c>
      <c r="K288" s="128">
        <v>0</v>
      </c>
      <c r="L288" s="5">
        <f t="shared" si="34"/>
        <v>17933447.390000001</v>
      </c>
      <c r="M288" s="2">
        <f>Form!$E$5</f>
        <v>0</v>
      </c>
      <c r="N288" s="5">
        <v>-1104085.8599999994</v>
      </c>
      <c r="O288" s="14">
        <f t="shared" si="31"/>
        <v>-1104085.8599999994</v>
      </c>
      <c r="P288" s="15" t="e">
        <f t="shared" si="32"/>
        <v>#DIV/0!</v>
      </c>
      <c r="Q288" s="16" t="e">
        <f t="shared" si="33"/>
        <v>#DIV/0!</v>
      </c>
      <c r="U288" s="14"/>
    </row>
    <row r="289" spans="1:21" x14ac:dyDescent="0.25">
      <c r="A289" s="7">
        <v>7058</v>
      </c>
      <c r="B289" s="126" t="s">
        <v>140</v>
      </c>
      <c r="C289" s="4">
        <f t="shared" si="28"/>
        <v>567473.03280000004</v>
      </c>
      <c r="D289" s="6">
        <v>1</v>
      </c>
      <c r="E289" s="82">
        <f t="shared" si="29"/>
        <v>0.12</v>
      </c>
      <c r="F289" s="128">
        <v>1086578.3899999999</v>
      </c>
      <c r="G289" s="128">
        <v>92478.75</v>
      </c>
      <c r="H289" s="128">
        <v>3432254.8000000003</v>
      </c>
      <c r="I289" s="128">
        <v>97180.000000000029</v>
      </c>
      <c r="J289" s="128">
        <v>20450</v>
      </c>
      <c r="K289" s="128">
        <v>0</v>
      </c>
      <c r="L289" s="5">
        <f t="shared" si="34"/>
        <v>4728941.9400000004</v>
      </c>
      <c r="M289" s="2">
        <f>Form!$E$5</f>
        <v>0</v>
      </c>
      <c r="N289" s="5">
        <v>-556690.30999999866</v>
      </c>
      <c r="O289" s="14">
        <f t="shared" si="31"/>
        <v>-556690.30999999866</v>
      </c>
      <c r="P289" s="15" t="e">
        <f t="shared" si="32"/>
        <v>#DIV/0!</v>
      </c>
      <c r="Q289" s="16" t="e">
        <f t="shared" si="33"/>
        <v>#DIV/0!</v>
      </c>
      <c r="U289" s="14"/>
    </row>
    <row r="290" spans="1:21" x14ac:dyDescent="0.25">
      <c r="A290" s="7">
        <v>7062</v>
      </c>
      <c r="B290" s="126" t="s">
        <v>290</v>
      </c>
      <c r="C290" s="4">
        <f t="shared" si="28"/>
        <v>336447.54479999997</v>
      </c>
      <c r="D290" s="6">
        <v>1</v>
      </c>
      <c r="E290" s="82">
        <f t="shared" si="29"/>
        <v>0.12</v>
      </c>
      <c r="F290" s="128">
        <v>1117293.72</v>
      </c>
      <c r="G290" s="128">
        <v>0</v>
      </c>
      <c r="H290" s="128">
        <v>1566527.82</v>
      </c>
      <c r="I290" s="128">
        <v>102820.00000000001</v>
      </c>
      <c r="J290" s="128">
        <v>17088</v>
      </c>
      <c r="K290" s="128">
        <v>0</v>
      </c>
      <c r="L290" s="5">
        <f t="shared" si="34"/>
        <v>2803729.54</v>
      </c>
      <c r="M290" s="2">
        <f>Form!$E$5</f>
        <v>0</v>
      </c>
      <c r="N290" s="5">
        <v>-244297.60999999964</v>
      </c>
      <c r="O290" s="14">
        <f t="shared" si="31"/>
        <v>-244297.60999999964</v>
      </c>
      <c r="P290" s="15" t="e">
        <f t="shared" si="32"/>
        <v>#DIV/0!</v>
      </c>
      <c r="Q290" s="16" t="e">
        <f t="shared" si="33"/>
        <v>#DIV/0!</v>
      </c>
      <c r="U290" s="14"/>
    </row>
    <row r="291" spans="1:21" x14ac:dyDescent="0.25">
      <c r="A291" s="7">
        <v>7063</v>
      </c>
      <c r="B291" s="126" t="s">
        <v>141</v>
      </c>
      <c r="C291" s="4">
        <f t="shared" si="28"/>
        <v>1033423.1027999999</v>
      </c>
      <c r="D291" s="6">
        <v>1</v>
      </c>
      <c r="E291" s="82">
        <f t="shared" si="29"/>
        <v>0.12</v>
      </c>
      <c r="F291" s="128">
        <v>3608722.88</v>
      </c>
      <c r="G291" s="128">
        <v>439301.06999999995</v>
      </c>
      <c r="H291" s="128">
        <v>4286019.24</v>
      </c>
      <c r="I291" s="128">
        <v>246887</v>
      </c>
      <c r="J291" s="128">
        <v>30929</v>
      </c>
      <c r="K291" s="128">
        <v>0</v>
      </c>
      <c r="L291" s="5">
        <f t="shared" si="34"/>
        <v>8611859.1899999995</v>
      </c>
      <c r="M291" s="2">
        <f>Form!$E$5</f>
        <v>0</v>
      </c>
      <c r="N291" s="5">
        <v>-749444.12999999942</v>
      </c>
      <c r="O291" s="14">
        <f t="shared" si="31"/>
        <v>-749444.12999999942</v>
      </c>
      <c r="P291" s="15" t="e">
        <f t="shared" si="32"/>
        <v>#DIV/0!</v>
      </c>
      <c r="Q291" s="16" t="e">
        <f t="shared" si="33"/>
        <v>#DIV/0!</v>
      </c>
      <c r="U291" s="14"/>
    </row>
    <row r="292" spans="1:21" x14ac:dyDescent="0.25">
      <c r="A292" s="7">
        <v>7067</v>
      </c>
      <c r="B292" s="126" t="s">
        <v>142</v>
      </c>
      <c r="C292" s="4">
        <f t="shared" si="28"/>
        <v>261422.62319999997</v>
      </c>
      <c r="D292" s="6">
        <v>1</v>
      </c>
      <c r="E292" s="82">
        <f t="shared" si="29"/>
        <v>0.12</v>
      </c>
      <c r="F292" s="128">
        <v>827196.8</v>
      </c>
      <c r="G292" s="128">
        <v>94.83</v>
      </c>
      <c r="H292" s="128">
        <v>1296010.23</v>
      </c>
      <c r="I292" s="128">
        <v>55220</v>
      </c>
      <c r="J292" s="128">
        <v>0</v>
      </c>
      <c r="K292" s="128">
        <v>0</v>
      </c>
      <c r="L292" s="5">
        <f t="shared" si="34"/>
        <v>2178521.86</v>
      </c>
      <c r="M292" s="2">
        <f>Form!$E$5</f>
        <v>0</v>
      </c>
      <c r="N292" s="5">
        <v>-233312.61000000004</v>
      </c>
      <c r="O292" s="14">
        <f t="shared" si="31"/>
        <v>-233312.61000000004</v>
      </c>
      <c r="P292" s="15" t="e">
        <f t="shared" si="32"/>
        <v>#DIV/0!</v>
      </c>
      <c r="Q292" s="16" t="e">
        <f t="shared" si="33"/>
        <v>#DIV/0!</v>
      </c>
      <c r="U292" s="14"/>
    </row>
    <row r="293" spans="1:21" x14ac:dyDescent="0.25">
      <c r="A293" s="7">
        <v>7069</v>
      </c>
      <c r="B293" s="126" t="s">
        <v>291</v>
      </c>
      <c r="C293" s="4">
        <f t="shared" si="28"/>
        <v>999242.21759999997</v>
      </c>
      <c r="D293" s="6">
        <v>1</v>
      </c>
      <c r="E293" s="82">
        <f t="shared" si="29"/>
        <v>0.12</v>
      </c>
      <c r="F293" s="128">
        <v>3388745.6600000006</v>
      </c>
      <c r="G293" s="128">
        <v>483945.86</v>
      </c>
      <c r="H293" s="128">
        <v>4265293.96</v>
      </c>
      <c r="I293" s="128">
        <v>153920</v>
      </c>
      <c r="J293" s="128">
        <v>35113</v>
      </c>
      <c r="K293" s="128">
        <v>0</v>
      </c>
      <c r="L293" s="5">
        <f t="shared" si="34"/>
        <v>8327018.4800000004</v>
      </c>
      <c r="M293" s="2">
        <f>Form!$E$5</f>
        <v>0</v>
      </c>
      <c r="N293" s="5">
        <v>-686108.20999999822</v>
      </c>
      <c r="O293" s="14">
        <f t="shared" si="31"/>
        <v>-686108.20999999822</v>
      </c>
      <c r="P293" s="15" t="e">
        <f t="shared" si="32"/>
        <v>#DIV/0!</v>
      </c>
      <c r="Q293" s="16" t="e">
        <f t="shared" si="33"/>
        <v>#DIV/0!</v>
      </c>
      <c r="U293" s="14"/>
    </row>
    <row r="294" spans="1:21" x14ac:dyDescent="0.25">
      <c r="A294" s="7">
        <v>7070</v>
      </c>
      <c r="B294" s="126" t="s">
        <v>143</v>
      </c>
      <c r="C294" s="4">
        <f t="shared" si="28"/>
        <v>615839.18279999995</v>
      </c>
      <c r="D294" s="6">
        <v>1</v>
      </c>
      <c r="E294" s="82">
        <f t="shared" si="29"/>
        <v>0.12</v>
      </c>
      <c r="F294" s="128">
        <v>2156209.67</v>
      </c>
      <c r="G294" s="128">
        <v>407847.65</v>
      </c>
      <c r="H294" s="128">
        <v>2453191.87</v>
      </c>
      <c r="I294" s="128">
        <v>94800</v>
      </c>
      <c r="J294" s="128">
        <v>19944</v>
      </c>
      <c r="K294" s="128">
        <v>0</v>
      </c>
      <c r="L294" s="5">
        <f t="shared" si="34"/>
        <v>5131993.1899999995</v>
      </c>
      <c r="M294" s="2">
        <f>Form!$E$5</f>
        <v>0</v>
      </c>
      <c r="N294" s="5">
        <v>-269109</v>
      </c>
      <c r="O294" s="14">
        <f t="shared" si="31"/>
        <v>-269109</v>
      </c>
      <c r="P294" s="15" t="e">
        <f t="shared" si="32"/>
        <v>#DIV/0!</v>
      </c>
      <c r="Q294" s="16" t="e">
        <f t="shared" si="33"/>
        <v>#DIV/0!</v>
      </c>
      <c r="U294" s="14"/>
    </row>
    <row r="295" spans="1:21" x14ac:dyDescent="0.25">
      <c r="A295" s="7">
        <v>7072</v>
      </c>
      <c r="B295" s="126" t="s">
        <v>292</v>
      </c>
      <c r="C295" s="4">
        <f t="shared" si="28"/>
        <v>1106578.656</v>
      </c>
      <c r="D295" s="6">
        <v>1</v>
      </c>
      <c r="E295" s="82">
        <f t="shared" si="29"/>
        <v>0.12</v>
      </c>
      <c r="F295" s="128">
        <v>3672675.2600000002</v>
      </c>
      <c r="G295" s="128">
        <v>581148.29</v>
      </c>
      <c r="H295" s="128">
        <v>4694767.3100000005</v>
      </c>
      <c r="I295" s="128">
        <v>241227.94</v>
      </c>
      <c r="J295" s="128">
        <v>31670</v>
      </c>
      <c r="K295" s="128">
        <v>0</v>
      </c>
      <c r="L295" s="5">
        <f t="shared" si="34"/>
        <v>9221488.8000000007</v>
      </c>
      <c r="M295" s="2">
        <f>Form!$E$5</f>
        <v>0</v>
      </c>
      <c r="N295" s="5">
        <v>-743734.99999999581</v>
      </c>
      <c r="O295" s="14">
        <f t="shared" si="31"/>
        <v>-743734.99999999581</v>
      </c>
      <c r="P295" s="15" t="e">
        <f t="shared" si="32"/>
        <v>#DIV/0!</v>
      </c>
      <c r="Q295" s="16" t="e">
        <f t="shared" si="33"/>
        <v>#DIV/0!</v>
      </c>
      <c r="U295" s="14"/>
    </row>
    <row r="296" spans="1:21" x14ac:dyDescent="0.25">
      <c r="A296" s="7">
        <v>7073</v>
      </c>
      <c r="B296" s="126" t="s">
        <v>293</v>
      </c>
      <c r="C296" s="4">
        <f t="shared" si="28"/>
        <v>668525.58600000001</v>
      </c>
      <c r="D296" s="6">
        <v>1</v>
      </c>
      <c r="E296" s="82">
        <f t="shared" si="29"/>
        <v>0.12</v>
      </c>
      <c r="F296" s="128">
        <v>2280696.4500000002</v>
      </c>
      <c r="G296" s="128">
        <v>145322.80000000002</v>
      </c>
      <c r="H296" s="128">
        <v>2986701.3</v>
      </c>
      <c r="I296" s="128">
        <v>137040</v>
      </c>
      <c r="J296" s="128">
        <v>21286</v>
      </c>
      <c r="K296" s="128">
        <v>0</v>
      </c>
      <c r="L296" s="5">
        <f t="shared" si="34"/>
        <v>5571046.5499999998</v>
      </c>
      <c r="M296" s="2">
        <f>Form!$E$5</f>
        <v>0</v>
      </c>
      <c r="N296" s="5">
        <v>-388274.06999999855</v>
      </c>
      <c r="O296" s="14">
        <f t="shared" si="31"/>
        <v>-388274.06999999855</v>
      </c>
      <c r="P296" s="15" t="e">
        <f t="shared" si="32"/>
        <v>#DIV/0!</v>
      </c>
      <c r="Q296" s="16" t="e">
        <f t="shared" si="33"/>
        <v>#DIV/0!</v>
      </c>
      <c r="U296" s="14"/>
    </row>
    <row r="297" spans="1:21" x14ac:dyDescent="0.25">
      <c r="A297" s="21">
        <v>9999</v>
      </c>
      <c r="B297" s="124" t="s">
        <v>333</v>
      </c>
      <c r="C297" s="4">
        <f t="shared" si="28"/>
        <v>0</v>
      </c>
      <c r="D297" s="6">
        <v>1</v>
      </c>
      <c r="E297" s="82">
        <f t="shared" si="29"/>
        <v>0.12</v>
      </c>
      <c r="F297" s="128">
        <v>0</v>
      </c>
      <c r="G297" s="128">
        <v>0</v>
      </c>
      <c r="H297" s="128">
        <v>0</v>
      </c>
      <c r="I297" s="128">
        <v>0</v>
      </c>
      <c r="J297" s="128">
        <v>0</v>
      </c>
      <c r="K297" s="128">
        <v>0</v>
      </c>
      <c r="L297" s="5">
        <f t="shared" si="34"/>
        <v>0</v>
      </c>
      <c r="M297" s="2">
        <f>Form!$E$5</f>
        <v>0</v>
      </c>
      <c r="N297" s="5">
        <v>0</v>
      </c>
      <c r="O297" s="14">
        <f t="shared" si="31"/>
        <v>0</v>
      </c>
      <c r="P297" s="15" t="e">
        <f t="shared" si="32"/>
        <v>#DIV/0!</v>
      </c>
      <c r="Q297" s="16" t="str">
        <f t="shared" si="33"/>
        <v>Within Tolerance</v>
      </c>
    </row>
  </sheetData>
  <autoFilter ref="A2:N297" xr:uid="{00000000-0009-0000-0000-000001000000}"/>
  <mergeCells count="3">
    <mergeCell ref="R7:T18"/>
    <mergeCell ref="F1:J1"/>
    <mergeCell ref="U214:U218"/>
  </mergeCells>
  <phoneticPr fontId="0" type="noConversion"/>
  <pageMargins left="0.75" right="0.75" top="1" bottom="1" header="0.5" footer="0.5"/>
  <pageSetup paperSize="9" scale="1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f7bad7-08c0-4d31-beb6-8de2bccf0d5e">
      <Terms xmlns="http://schemas.microsoft.com/office/infopath/2007/PartnerControls"/>
    </lcf76f155ced4ddcb4097134ff3c332f>
    <TaxCatchAll xmlns="62865ea8-f116-406c-9840-b9098c6aa2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54A90CCB51694EB4D9AC1659E6AC48" ma:contentTypeVersion="17" ma:contentTypeDescription="Create a new document." ma:contentTypeScope="" ma:versionID="b0359aa1542eeef360a4b3bdfa0ac489">
  <xsd:schema xmlns:xsd="http://www.w3.org/2001/XMLSchema" xmlns:xs="http://www.w3.org/2001/XMLSchema" xmlns:p="http://schemas.microsoft.com/office/2006/metadata/properties" xmlns:ns2="76f7bad7-08c0-4d31-beb6-8de2bccf0d5e" xmlns:ns3="62865ea8-f116-406c-9840-b9098c6aa2bd" targetNamespace="http://schemas.microsoft.com/office/2006/metadata/properties" ma:root="true" ma:fieldsID="cb3d891e06b74334acb257b0cf2c5352" ns2:_="" ns3:_="">
    <xsd:import namespace="76f7bad7-08c0-4d31-beb6-8de2bccf0d5e"/>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7bad7-08c0-4d31-beb6-8de2bccf0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26C831-8C3A-4BB3-8482-56F7AFB4017E}">
  <ds:schemaRefs>
    <ds:schemaRef ds:uri="http://purl.org/dc/terms/"/>
    <ds:schemaRef ds:uri="http://schemas.microsoft.com/office/2006/documentManagement/types"/>
    <ds:schemaRef ds:uri="76f7bad7-08c0-4d31-beb6-8de2bccf0d5e"/>
    <ds:schemaRef ds:uri="http://www.w3.org/XML/1998/namespace"/>
    <ds:schemaRef ds:uri="http://purl.org/dc/dcmitype/"/>
    <ds:schemaRef ds:uri="http://schemas.microsoft.com/office/2006/metadata/properties"/>
    <ds:schemaRef ds:uri="62865ea8-f116-406c-9840-b9098c6aa2bd"/>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02DFB6FA-3B4C-4572-A46B-E1804C0D46AA}">
  <ds:schemaRefs>
    <ds:schemaRef ds:uri="http://schemas.microsoft.com/sharepoint/v3/contenttype/forms"/>
  </ds:schemaRefs>
</ds:datastoreItem>
</file>

<file path=customXml/itemProps3.xml><?xml version="1.0" encoding="utf-8"?>
<ds:datastoreItem xmlns:ds="http://schemas.openxmlformats.org/officeDocument/2006/customXml" ds:itemID="{94D980D8-3BF0-40F0-BA95-E361902A1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f7bad7-08c0-4d31-beb6-8de2bccf0d5e"/>
    <ds:schemaRef ds:uri="62865ea8-f116-406c-9840-b9098c6aa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BCM Criteria</vt:lpstr>
      <vt:lpstr>Form</vt:lpstr>
      <vt:lpstr>Lookup</vt:lpstr>
      <vt:lpstr>Form!Print_Area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hollak01</dc:creator>
  <cp:lastModifiedBy>Walkling, Suzanne - TEP</cp:lastModifiedBy>
  <cp:lastPrinted>2021-03-19T15:27:36Z</cp:lastPrinted>
  <dcterms:created xsi:type="dcterms:W3CDTF">2010-02-11T14:59:48Z</dcterms:created>
  <dcterms:modified xsi:type="dcterms:W3CDTF">2025-03-20T16:05:55Z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0x010100D054A90CCB51694EB4D9AC1659E6AC48</vt:lpwstr>
  </property>
  <property fmtid="{D5CDD505-2E9C-101B-9397-08002B2CF9AE}" pid="3" name="Order">
    <vt:r8>100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y fmtid="{D5CDD505-2E9C-101B-9397-08002B2CF9AE}" pid="9" name="_ExtendedDescription">
    <vt:lpwstr/>
  </property>
  <property fmtid="{D5CDD505-2E9C-101B-9397-08002B2CF9AE}" pid="10" name="TriggerFlowInfo">
    <vt:lpwstr/>
  </property>
</Properties>
</file>